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43" activeTab="0"/>
  </bookViews>
  <sheets>
    <sheet name="Chimie IDCC44" sheetId="1" r:id="rId1"/>
    <sheet name="Legale liée" sheetId="2" r:id="rId2"/>
  </sheets>
  <definedNames>
    <definedName name="Excel_BuiltIn_Print_Area_12">#REF!</definedName>
    <definedName name="_xlnm.Print_Area" localSheetId="0">'Chimie IDCC44'!$B$2:$G$62</definedName>
    <definedName name="_xlnm.Print_Area" localSheetId="1">'Legale liée'!$B$2:$G$61</definedName>
  </definedNames>
  <calcPr fullCalcOnLoad="1"/>
</workbook>
</file>

<file path=xl/sharedStrings.xml><?xml version="1.0" encoding="utf-8"?>
<sst xmlns="http://schemas.openxmlformats.org/spreadsheetml/2006/main" count="148" uniqueCount="79">
  <si>
    <t>Zone de la Convention collective</t>
  </si>
  <si>
    <t xml:space="preserve">Zone de calcul </t>
  </si>
  <si>
    <t>janvier</t>
  </si>
  <si>
    <t>février</t>
  </si>
  <si>
    <t>Date du jour</t>
  </si>
  <si>
    <t>mars</t>
  </si>
  <si>
    <t>Date de naissance</t>
  </si>
  <si>
    <t>Temps de présence</t>
  </si>
  <si>
    <t>Age</t>
  </si>
  <si>
    <t>avril</t>
  </si>
  <si>
    <t>%</t>
  </si>
  <si>
    <t>mai</t>
  </si>
  <si>
    <t>Date d'embauche</t>
  </si>
  <si>
    <t>jour</t>
  </si>
  <si>
    <t>mois</t>
  </si>
  <si>
    <t>année</t>
  </si>
  <si>
    <t>juin</t>
  </si>
  <si>
    <t>Date de rupture</t>
  </si>
  <si>
    <t>Embauche</t>
  </si>
  <si>
    <t>juillet</t>
  </si>
  <si>
    <t>Départ</t>
  </si>
  <si>
    <t>août</t>
  </si>
  <si>
    <t>Ancienneté retenue</t>
  </si>
  <si>
    <t>Ouvrier</t>
  </si>
  <si>
    <t>Calcul</t>
  </si>
  <si>
    <t>ans</t>
  </si>
  <si>
    <t>De 1 à 10 ans</t>
  </si>
  <si>
    <t>Plus de 10 ans</t>
  </si>
  <si>
    <t>septembre</t>
  </si>
  <si>
    <t>années</t>
  </si>
  <si>
    <t>Ancienneté légale</t>
  </si>
  <si>
    <t>Ancienneté</t>
  </si>
  <si>
    <t>octobre</t>
  </si>
  <si>
    <t>Droits convention ouverts</t>
  </si>
  <si>
    <t>en années</t>
  </si>
  <si>
    <t>novembre</t>
  </si>
  <si>
    <t>jours</t>
  </si>
  <si>
    <t>soit</t>
  </si>
  <si>
    <t>décembre</t>
  </si>
  <si>
    <t>Cadre</t>
  </si>
  <si>
    <t>Critères de calcul</t>
  </si>
  <si>
    <t>Coefficient</t>
  </si>
  <si>
    <t>Majoration</t>
  </si>
  <si>
    <t>Maximum</t>
  </si>
  <si>
    <t>Salaires bruts</t>
  </si>
  <si>
    <t>Moy 1 an</t>
  </si>
  <si>
    <t>Salaires</t>
  </si>
  <si>
    <t>Moy 1 trim</t>
  </si>
  <si>
    <t>Valeur la plus avantageuse</t>
  </si>
  <si>
    <t>Majoration d'ancienneté</t>
  </si>
  <si>
    <t>Plafond</t>
  </si>
  <si>
    <t>Indemnité minimale</t>
  </si>
  <si>
    <t>.DOC</t>
  </si>
  <si>
    <t>Ancienneté réelle</t>
  </si>
  <si>
    <t>Employé</t>
  </si>
  <si>
    <t>Indemnité légale</t>
  </si>
  <si>
    <t>Limite ancienneté</t>
  </si>
  <si>
    <t>Agent de maîtrise</t>
  </si>
  <si>
    <t>Coefficient retenu</t>
  </si>
  <si>
    <t>De 0 à 5 ans</t>
  </si>
  <si>
    <t xml:space="preserve">De 5 à 10 ans </t>
  </si>
  <si>
    <t>De 10 à 15 ans</t>
  </si>
  <si>
    <t>De 15 à 20 ans</t>
  </si>
  <si>
    <t>&gt; à 20 ans</t>
  </si>
  <si>
    <t>Technicien Dessinateur</t>
  </si>
  <si>
    <t>CHIMIE IDCC 44.doc</t>
  </si>
  <si>
    <t>Technicien</t>
  </si>
  <si>
    <t>indemnité légale</t>
  </si>
  <si>
    <t>Majoration 1 mois</t>
  </si>
  <si>
    <t>Majoration 2 mois</t>
  </si>
  <si>
    <t>Coefficient légal</t>
  </si>
  <si>
    <t>Néant</t>
  </si>
  <si>
    <t>CHIMIE IDCC 44</t>
  </si>
  <si>
    <t>Simulation : indemnité de licenciement et de rupture conventionnelle</t>
  </si>
  <si>
    <t xml:space="preserve"> Le montant est donné à titre indicatif et demande à être confirmé par 
les services administratifs de l'entreprise</t>
  </si>
  <si>
    <t>Nom</t>
  </si>
  <si>
    <t>Tableau de simulation</t>
  </si>
  <si>
    <t xml:space="preserve">Ce tableau vous permet de calculer l’indemnité de licenciement (ou de rupture conventionnelle) pour un salarié, en se basant sur la convention collective.
Remplissez les cases sur fond jaune et le total sera calculé automatiquement.
Mais attention, le montant indiqué est donné à titre indicatif.
</t>
  </si>
  <si>
    <t>Pour consulter le texte de la CCN, cliquez sur l'icône &gt;&gt;&gt;&gt;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</si>
</sst>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40C]dddd\ d\ mmmm\ yyyy"/>
  </numFmts>
  <fonts count="20">
    <font>
      <sz val="10"/>
      <name val="Arial"/>
      <family val="2"/>
    </font>
    <font>
      <sz val="8"/>
      <name val="Arial"/>
      <family val="2"/>
    </font>
    <font>
      <b/>
      <sz val="12"/>
      <name val="Arial"/>
      <family val="2"/>
    </font>
    <font>
      <sz val="14"/>
      <name val="Arial"/>
      <family val="2"/>
    </font>
    <font>
      <b/>
      <sz val="14"/>
      <name val="Arial"/>
      <family val="2"/>
    </font>
    <font>
      <u val="single"/>
      <sz val="10"/>
      <color indexed="12"/>
      <name val="Arial"/>
      <family val="2"/>
    </font>
    <font>
      <b/>
      <sz val="10"/>
      <name val="Arial"/>
      <family val="2"/>
    </font>
    <font>
      <b/>
      <sz val="8"/>
      <name val="Arial"/>
      <family val="2"/>
    </font>
    <font>
      <b/>
      <sz val="11"/>
      <name val="Arial"/>
      <family val="2"/>
    </font>
    <font>
      <b/>
      <sz val="9"/>
      <name val="Arial"/>
      <family val="2"/>
    </font>
    <font>
      <b/>
      <i/>
      <sz val="8"/>
      <name val="Arial"/>
      <family val="2"/>
    </font>
    <font>
      <u val="single"/>
      <sz val="14"/>
      <color indexed="12"/>
      <name val="Arial"/>
      <family val="2"/>
    </font>
    <font>
      <sz val="9"/>
      <name val="Arial"/>
      <family val="2"/>
    </font>
    <font>
      <u val="single"/>
      <sz val="10"/>
      <color indexed="36"/>
      <name val="Arial"/>
      <family val="2"/>
    </font>
    <font>
      <b/>
      <i/>
      <sz val="11"/>
      <name val="Arial"/>
      <family val="2"/>
    </font>
    <font>
      <sz val="11"/>
      <name val="Arial"/>
      <family val="2"/>
    </font>
    <font>
      <b/>
      <sz val="18"/>
      <name val="Arial"/>
      <family val="2"/>
    </font>
    <font>
      <sz val="10"/>
      <color indexed="9"/>
      <name val="Arial"/>
      <family val="2"/>
    </font>
    <font>
      <b/>
      <sz val="10"/>
      <color indexed="9"/>
      <name val="Arial"/>
      <family val="2"/>
    </font>
    <font>
      <sz val="8"/>
      <name val="Tahoma"/>
      <family val="2"/>
    </font>
  </fonts>
  <fills count="1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53"/>
        <bgColor indexed="64"/>
      </patternFill>
    </fill>
    <fill>
      <patternFill patternType="solid">
        <fgColor indexed="11"/>
        <bgColor indexed="64"/>
      </patternFill>
    </fill>
    <fill>
      <patternFill patternType="solid">
        <fgColor indexed="44"/>
        <bgColor indexed="64"/>
      </patternFill>
    </fill>
    <fill>
      <patternFill patternType="solid">
        <fgColor indexed="63"/>
        <bgColor indexed="64"/>
      </patternFill>
    </fill>
    <fill>
      <patternFill patternType="solid">
        <fgColor indexed="24"/>
        <bgColor indexed="64"/>
      </patternFill>
    </fill>
    <fill>
      <patternFill patternType="solid">
        <fgColor indexed="53"/>
        <bgColor indexed="64"/>
      </patternFill>
    </fill>
    <fill>
      <patternFill patternType="solid">
        <fgColor indexed="42"/>
        <bgColor indexed="64"/>
      </patternFill>
    </fill>
    <fill>
      <patternFill patternType="solid">
        <fgColor indexed="42"/>
        <bgColor indexed="64"/>
      </patternFill>
    </fill>
    <fill>
      <patternFill patternType="solid">
        <fgColor indexed="47"/>
        <bgColor indexed="64"/>
      </patternFill>
    </fill>
    <fill>
      <patternFill patternType="solid">
        <fgColor indexed="53"/>
        <bgColor indexed="64"/>
      </patternFill>
    </fill>
  </fills>
  <borders count="2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49">
    <xf numFmtId="0" fontId="0" fillId="0" borderId="0" xfId="0" applyAlignment="1">
      <alignment/>
    </xf>
    <xf numFmtId="14" fontId="6" fillId="2" borderId="1" xfId="0" applyNumberFormat="1" applyFont="1" applyFill="1" applyBorder="1" applyAlignment="1" applyProtection="1">
      <alignment/>
      <protection locked="0"/>
    </xf>
    <xf numFmtId="4" fontId="0" fillId="2" borderId="1" xfId="0" applyNumberFormat="1" applyFill="1" applyBorder="1" applyAlignment="1" applyProtection="1">
      <alignment/>
      <protection locked="0"/>
    </xf>
    <xf numFmtId="0" fontId="11" fillId="3" borderId="0" xfId="15" applyNumberFormat="1" applyFont="1" applyFill="1" applyBorder="1" applyAlignment="1" applyProtection="1">
      <alignment/>
      <protection/>
    </xf>
    <xf numFmtId="0" fontId="0" fillId="0" borderId="0" xfId="0" applyAlignment="1" applyProtection="1">
      <alignment/>
      <protection/>
    </xf>
    <xf numFmtId="0" fontId="2" fillId="3" borderId="0" xfId="0" applyFont="1" applyFill="1" applyAlignment="1" applyProtection="1">
      <alignment/>
      <protection/>
    </xf>
    <xf numFmtId="0" fontId="0" fillId="3" borderId="0" xfId="0" applyFill="1" applyAlignment="1" applyProtection="1">
      <alignment/>
      <protection/>
    </xf>
    <xf numFmtId="0" fontId="2" fillId="4" borderId="0" xfId="0" applyFont="1" applyFill="1" applyAlignment="1" applyProtection="1">
      <alignment/>
      <protection/>
    </xf>
    <xf numFmtId="0" fontId="0" fillId="4" borderId="0" xfId="0" applyFont="1" applyFill="1" applyAlignment="1" applyProtection="1">
      <alignment/>
      <protection/>
    </xf>
    <xf numFmtId="0" fontId="1" fillId="4" borderId="0" xfId="0" applyFont="1" applyFill="1" applyAlignment="1" applyProtection="1">
      <alignment horizontal="right"/>
      <protection/>
    </xf>
    <xf numFmtId="0" fontId="3" fillId="0" borderId="0" xfId="0" applyFont="1" applyAlignment="1" applyProtection="1">
      <alignment/>
      <protection/>
    </xf>
    <xf numFmtId="0" fontId="3" fillId="3" borderId="0" xfId="0" applyFont="1" applyFill="1" applyAlignment="1" applyProtection="1">
      <alignment/>
      <protection/>
    </xf>
    <xf numFmtId="0" fontId="3" fillId="4" borderId="0" xfId="0" applyFont="1" applyFill="1" applyAlignment="1" applyProtection="1">
      <alignment/>
      <protection/>
    </xf>
    <xf numFmtId="0" fontId="3" fillId="4" borderId="0" xfId="0" applyFont="1" applyFill="1" applyAlignment="1" applyProtection="1">
      <alignment horizontal="right"/>
      <protection/>
    </xf>
    <xf numFmtId="0" fontId="1" fillId="4" borderId="0" xfId="0" applyFont="1" applyFill="1" applyAlignment="1" applyProtection="1">
      <alignment/>
      <protection/>
    </xf>
    <xf numFmtId="0" fontId="1" fillId="0" borderId="0" xfId="0" applyFont="1" applyAlignment="1" applyProtection="1">
      <alignment/>
      <protection/>
    </xf>
    <xf numFmtId="0" fontId="0" fillId="0" borderId="0" xfId="0" applyFill="1" applyAlignment="1" applyProtection="1">
      <alignment/>
      <protection/>
    </xf>
    <xf numFmtId="0" fontId="6" fillId="3" borderId="0" xfId="0" applyFont="1" applyFill="1" applyAlignment="1" applyProtection="1">
      <alignment/>
      <protection/>
    </xf>
    <xf numFmtId="14" fontId="0" fillId="4" borderId="0" xfId="0" applyNumberFormat="1" applyFont="1" applyFill="1" applyAlignment="1" applyProtection="1">
      <alignment/>
      <protection/>
    </xf>
    <xf numFmtId="0" fontId="0" fillId="0" borderId="1" xfId="0" applyFont="1" applyBorder="1" applyAlignment="1" applyProtection="1">
      <alignment/>
      <protection/>
    </xf>
    <xf numFmtId="0" fontId="0" fillId="4" borderId="0" xfId="0" applyNumberFormat="1" applyFont="1" applyFill="1" applyAlignment="1" applyProtection="1">
      <alignment/>
      <protection/>
    </xf>
    <xf numFmtId="2" fontId="0" fillId="4" borderId="0" xfId="0" applyNumberFormat="1" applyFill="1" applyAlignment="1" applyProtection="1">
      <alignment/>
      <protection/>
    </xf>
    <xf numFmtId="0" fontId="0" fillId="4" borderId="0" xfId="0" applyFont="1" applyFill="1" applyAlignment="1" applyProtection="1">
      <alignment horizontal="right"/>
      <protection/>
    </xf>
    <xf numFmtId="0" fontId="7" fillId="3" borderId="0" xfId="0" applyFont="1" applyFill="1" applyAlignment="1" applyProtection="1">
      <alignment horizontal="right"/>
      <protection/>
    </xf>
    <xf numFmtId="0" fontId="7" fillId="3" borderId="0" xfId="0" applyFont="1" applyFill="1" applyAlignment="1" applyProtection="1">
      <alignment/>
      <protection/>
    </xf>
    <xf numFmtId="0" fontId="0" fillId="4" borderId="1" xfId="0" applyFill="1" applyBorder="1" applyAlignment="1" applyProtection="1">
      <alignment/>
      <protection/>
    </xf>
    <xf numFmtId="164" fontId="6" fillId="0" borderId="2" xfId="0" applyNumberFormat="1" applyFont="1" applyFill="1" applyBorder="1" applyAlignment="1" applyProtection="1">
      <alignment/>
      <protection/>
    </xf>
    <xf numFmtId="0" fontId="6" fillId="0" borderId="3" xfId="0" applyFont="1" applyBorder="1" applyAlignment="1" applyProtection="1">
      <alignment/>
      <protection/>
    </xf>
    <xf numFmtId="1" fontId="6" fillId="0" borderId="2" xfId="0" applyNumberFormat="1" applyFont="1" applyBorder="1" applyAlignment="1" applyProtection="1">
      <alignment/>
      <protection/>
    </xf>
    <xf numFmtId="0" fontId="0" fillId="0" borderId="3" xfId="0" applyFont="1" applyBorder="1" applyAlignment="1" applyProtection="1">
      <alignment/>
      <protection/>
    </xf>
    <xf numFmtId="0" fontId="7" fillId="5" borderId="1" xfId="0" applyFont="1" applyFill="1" applyBorder="1" applyAlignment="1" applyProtection="1">
      <alignment/>
      <protection/>
    </xf>
    <xf numFmtId="0" fontId="7" fillId="5" borderId="1" xfId="0" applyFont="1" applyFill="1" applyBorder="1" applyAlignment="1" applyProtection="1">
      <alignment horizontal="right"/>
      <protection/>
    </xf>
    <xf numFmtId="0" fontId="1" fillId="5" borderId="1" xfId="0" applyFont="1" applyFill="1" applyBorder="1" applyAlignment="1" applyProtection="1">
      <alignment/>
      <protection/>
    </xf>
    <xf numFmtId="0" fontId="7" fillId="6" borderId="4" xfId="0" applyFont="1" applyFill="1" applyBorder="1" applyAlignment="1" applyProtection="1">
      <alignment/>
      <protection/>
    </xf>
    <xf numFmtId="0" fontId="7" fillId="6" borderId="5" xfId="0" applyFont="1" applyFill="1" applyBorder="1" applyAlignment="1" applyProtection="1">
      <alignment horizontal="right"/>
      <protection/>
    </xf>
    <xf numFmtId="165" fontId="6" fillId="4" borderId="0" xfId="0" applyNumberFormat="1" applyFont="1" applyFill="1" applyAlignment="1" applyProtection="1">
      <alignment horizontal="left"/>
      <protection/>
    </xf>
    <xf numFmtId="164" fontId="6" fillId="0" borderId="2" xfId="0" applyNumberFormat="1" applyFont="1" applyBorder="1" applyAlignment="1" applyProtection="1">
      <alignment/>
      <protection/>
    </xf>
    <xf numFmtId="0" fontId="0" fillId="6" borderId="6" xfId="0" applyFill="1" applyBorder="1" applyAlignment="1" applyProtection="1">
      <alignment/>
      <protection/>
    </xf>
    <xf numFmtId="0" fontId="7" fillId="3" borderId="7" xfId="0" applyFont="1" applyFill="1" applyBorder="1" applyAlignment="1" applyProtection="1">
      <alignment/>
      <protection/>
    </xf>
    <xf numFmtId="0" fontId="7" fillId="3" borderId="1" xfId="0" applyFont="1" applyFill="1" applyBorder="1" applyAlignment="1" applyProtection="1">
      <alignment/>
      <protection/>
    </xf>
    <xf numFmtId="0" fontId="0" fillId="3" borderId="0" xfId="0" applyFill="1" applyBorder="1" applyAlignment="1" applyProtection="1">
      <alignment/>
      <protection/>
    </xf>
    <xf numFmtId="0" fontId="0" fillId="4" borderId="0" xfId="0" applyFont="1" applyFill="1" applyBorder="1" applyAlignment="1" applyProtection="1">
      <alignment/>
      <protection/>
    </xf>
    <xf numFmtId="165" fontId="6" fillId="7" borderId="1" xfId="0" applyNumberFormat="1" applyFont="1" applyFill="1" applyBorder="1" applyAlignment="1" applyProtection="1">
      <alignment horizontal="left"/>
      <protection/>
    </xf>
    <xf numFmtId="0" fontId="6" fillId="4" borderId="0" xfId="0" applyFont="1" applyFill="1" applyAlignment="1" applyProtection="1">
      <alignment/>
      <protection/>
    </xf>
    <xf numFmtId="0" fontId="7" fillId="3" borderId="1" xfId="0" applyFont="1" applyFill="1" applyBorder="1" applyAlignment="1" applyProtection="1">
      <alignment horizontal="right"/>
      <protection/>
    </xf>
    <xf numFmtId="0" fontId="0" fillId="6" borderId="1" xfId="0" applyFont="1" applyFill="1" applyBorder="1" applyAlignment="1" applyProtection="1">
      <alignment/>
      <protection/>
    </xf>
    <xf numFmtId="0" fontId="1" fillId="6" borderId="1" xfId="0" applyFont="1" applyFill="1" applyBorder="1" applyAlignment="1" applyProtection="1">
      <alignment/>
      <protection/>
    </xf>
    <xf numFmtId="0" fontId="0" fillId="3" borderId="8" xfId="0" applyFill="1" applyBorder="1" applyAlignment="1" applyProtection="1">
      <alignment/>
      <protection/>
    </xf>
    <xf numFmtId="0" fontId="6" fillId="4" borderId="0" xfId="0" applyFont="1" applyFill="1" applyBorder="1" applyAlignment="1" applyProtection="1">
      <alignment/>
      <protection/>
    </xf>
    <xf numFmtId="0" fontId="6" fillId="3" borderId="1" xfId="0" applyFont="1" applyFill="1" applyBorder="1" applyAlignment="1" applyProtection="1">
      <alignment/>
      <protection/>
    </xf>
    <xf numFmtId="0" fontId="0" fillId="6" borderId="9" xfId="0" applyFill="1" applyBorder="1" applyAlignment="1" applyProtection="1">
      <alignment/>
      <protection/>
    </xf>
    <xf numFmtId="0" fontId="0" fillId="6" borderId="10" xfId="0" applyFill="1" applyBorder="1" applyAlignment="1" applyProtection="1">
      <alignment/>
      <protection/>
    </xf>
    <xf numFmtId="0" fontId="0" fillId="6" borderId="11" xfId="0" applyFont="1" applyFill="1" applyBorder="1" applyAlignment="1" applyProtection="1">
      <alignment/>
      <protection/>
    </xf>
    <xf numFmtId="0" fontId="6" fillId="7" borderId="1" xfId="0" applyFont="1" applyFill="1" applyBorder="1" applyAlignment="1" applyProtection="1">
      <alignment/>
      <protection/>
    </xf>
    <xf numFmtId="0" fontId="0" fillId="6" borderId="12" xfId="0" applyFill="1" applyBorder="1" applyAlignment="1" applyProtection="1">
      <alignment/>
      <protection/>
    </xf>
    <xf numFmtId="0" fontId="0" fillId="6" borderId="13" xfId="0" applyFill="1" applyBorder="1" applyAlignment="1" applyProtection="1">
      <alignment/>
      <protection/>
    </xf>
    <xf numFmtId="0" fontId="0" fillId="6" borderId="14" xfId="0" applyFill="1" applyBorder="1" applyAlignment="1" applyProtection="1">
      <alignment/>
      <protection/>
    </xf>
    <xf numFmtId="0" fontId="6" fillId="4" borderId="15" xfId="0" applyFont="1" applyFill="1" applyBorder="1" applyAlignment="1" applyProtection="1">
      <alignment/>
      <protection/>
    </xf>
    <xf numFmtId="0" fontId="0" fillId="4" borderId="15" xfId="0" applyFill="1" applyBorder="1" applyAlignment="1" applyProtection="1">
      <alignment/>
      <protection/>
    </xf>
    <xf numFmtId="0" fontId="0" fillId="4" borderId="0" xfId="0" applyFill="1" applyBorder="1" applyAlignment="1" applyProtection="1">
      <alignment/>
      <protection/>
    </xf>
    <xf numFmtId="0" fontId="6" fillId="0" borderId="1" xfId="0" applyFont="1" applyBorder="1" applyAlignment="1" applyProtection="1">
      <alignment horizontal="center"/>
      <protection/>
    </xf>
    <xf numFmtId="165" fontId="0" fillId="8" borderId="1" xfId="0" applyNumberFormat="1" applyFill="1" applyBorder="1" applyAlignment="1" applyProtection="1">
      <alignment/>
      <protection/>
    </xf>
    <xf numFmtId="0" fontId="0" fillId="3" borderId="16" xfId="0" applyFill="1" applyBorder="1" applyAlignment="1" applyProtection="1">
      <alignment/>
      <protection/>
    </xf>
    <xf numFmtId="165" fontId="0" fillId="0" borderId="1" xfId="0" applyNumberFormat="1" applyBorder="1" applyAlignment="1" applyProtection="1">
      <alignment/>
      <protection/>
    </xf>
    <xf numFmtId="0" fontId="6" fillId="4" borderId="1" xfId="0" applyFont="1" applyFill="1" applyBorder="1" applyAlignment="1" applyProtection="1">
      <alignment/>
      <protection/>
    </xf>
    <xf numFmtId="0" fontId="9" fillId="3" borderId="1" xfId="0" applyFont="1" applyFill="1" applyBorder="1" applyAlignment="1" applyProtection="1">
      <alignment/>
      <protection/>
    </xf>
    <xf numFmtId="0" fontId="0" fillId="6" borderId="17" xfId="0" applyFill="1" applyBorder="1" applyAlignment="1" applyProtection="1">
      <alignment/>
      <protection/>
    </xf>
    <xf numFmtId="0" fontId="0" fillId="6" borderId="18" xfId="0" applyFill="1" applyBorder="1" applyAlignment="1" applyProtection="1">
      <alignment/>
      <protection/>
    </xf>
    <xf numFmtId="0" fontId="0" fillId="6" borderId="19" xfId="0" applyFill="1" applyBorder="1" applyAlignment="1" applyProtection="1">
      <alignment/>
      <protection/>
    </xf>
    <xf numFmtId="0" fontId="0" fillId="4" borderId="1" xfId="0" applyFont="1" applyFill="1" applyBorder="1" applyAlignment="1" applyProtection="1">
      <alignment/>
      <protection/>
    </xf>
    <xf numFmtId="0" fontId="6" fillId="3" borderId="0" xfId="0" applyFont="1" applyFill="1" applyBorder="1" applyAlignment="1" applyProtection="1">
      <alignment/>
      <protection/>
    </xf>
    <xf numFmtId="0" fontId="1" fillId="4" borderId="0" xfId="0" applyFont="1" applyFill="1" applyBorder="1" applyAlignment="1" applyProtection="1">
      <alignment horizontal="right"/>
      <protection/>
    </xf>
    <xf numFmtId="0" fontId="0" fillId="4" borderId="13" xfId="0" applyFill="1" applyBorder="1" applyAlignment="1" applyProtection="1">
      <alignment/>
      <protection/>
    </xf>
    <xf numFmtId="0" fontId="0" fillId="0" borderId="1" xfId="0" applyBorder="1" applyAlignment="1" applyProtection="1">
      <alignment/>
      <protection/>
    </xf>
    <xf numFmtId="0" fontId="6" fillId="0" borderId="20" xfId="0" applyFont="1" applyBorder="1" applyAlignment="1" applyProtection="1">
      <alignment horizontal="center"/>
      <protection/>
    </xf>
    <xf numFmtId="165" fontId="0" fillId="0" borderId="1" xfId="0" applyNumberFormat="1" applyFont="1" applyBorder="1" applyAlignment="1" applyProtection="1">
      <alignment/>
      <protection/>
    </xf>
    <xf numFmtId="165" fontId="6" fillId="0" borderId="1" xfId="0" applyNumberFormat="1" applyFont="1" applyBorder="1" applyAlignment="1" applyProtection="1">
      <alignment/>
      <protection/>
    </xf>
    <xf numFmtId="0" fontId="6" fillId="7" borderId="7" xfId="0" applyFont="1" applyFill="1" applyBorder="1" applyAlignment="1" applyProtection="1">
      <alignment horizontal="center"/>
      <protection/>
    </xf>
    <xf numFmtId="0" fontId="6" fillId="7" borderId="7" xfId="0" applyFont="1" applyFill="1" applyBorder="1" applyAlignment="1" applyProtection="1">
      <alignment/>
      <protection/>
    </xf>
    <xf numFmtId="0" fontId="1" fillId="0" borderId="0" xfId="0" applyFont="1" applyAlignment="1" applyProtection="1">
      <alignment horizontal="right"/>
      <protection/>
    </xf>
    <xf numFmtId="4" fontId="6" fillId="0" borderId="21" xfId="0" applyNumberFormat="1" applyFont="1" applyBorder="1" applyAlignment="1" applyProtection="1">
      <alignment/>
      <protection/>
    </xf>
    <xf numFmtId="4" fontId="0" fillId="0" borderId="1" xfId="0" applyNumberFormat="1" applyBorder="1" applyAlignment="1" applyProtection="1">
      <alignment/>
      <protection/>
    </xf>
    <xf numFmtId="0" fontId="6" fillId="0" borderId="0" xfId="0" applyFont="1" applyBorder="1" applyAlignment="1" applyProtection="1">
      <alignment horizontal="left"/>
      <protection/>
    </xf>
    <xf numFmtId="4" fontId="0" fillId="0" borderId="0" xfId="0" applyNumberFormat="1" applyFill="1" applyAlignment="1" applyProtection="1">
      <alignment/>
      <protection/>
    </xf>
    <xf numFmtId="0" fontId="6" fillId="0" borderId="0" xfId="0" applyFont="1" applyBorder="1" applyAlignment="1" applyProtection="1">
      <alignment horizontal="center"/>
      <protection/>
    </xf>
    <xf numFmtId="0" fontId="0" fillId="0" borderId="0" xfId="0" applyBorder="1" applyAlignment="1" applyProtection="1">
      <alignment/>
      <protection/>
    </xf>
    <xf numFmtId="165" fontId="6" fillId="0" borderId="21" xfId="0" applyNumberFormat="1" applyFont="1" applyBorder="1" applyAlignment="1" applyProtection="1">
      <alignment/>
      <protection/>
    </xf>
    <xf numFmtId="0" fontId="6" fillId="0" borderId="0" xfId="0" applyFont="1" applyBorder="1" applyAlignment="1" applyProtection="1">
      <alignment/>
      <protection/>
    </xf>
    <xf numFmtId="0" fontId="10" fillId="0" borderId="0" xfId="0" applyFont="1" applyBorder="1" applyAlignment="1" applyProtection="1">
      <alignment/>
      <protection/>
    </xf>
    <xf numFmtId="0" fontId="9" fillId="0" borderId="0" xfId="0" applyFont="1" applyFill="1" applyBorder="1" applyAlignment="1" applyProtection="1">
      <alignment/>
      <protection/>
    </xf>
    <xf numFmtId="0" fontId="6" fillId="0" borderId="1" xfId="0" applyFont="1" applyBorder="1" applyAlignment="1" applyProtection="1">
      <alignment/>
      <protection/>
    </xf>
    <xf numFmtId="0" fontId="7" fillId="3" borderId="7" xfId="0" applyFont="1" applyFill="1" applyBorder="1" applyAlignment="1" applyProtection="1">
      <alignment horizontal="center"/>
      <protection/>
    </xf>
    <xf numFmtId="0" fontId="6" fillId="0" borderId="0" xfId="0" applyFont="1" applyFill="1" applyBorder="1" applyAlignment="1" applyProtection="1">
      <alignment/>
      <protection/>
    </xf>
    <xf numFmtId="0" fontId="6" fillId="9" borderId="1" xfId="0" applyFont="1" applyFill="1" applyBorder="1" applyAlignment="1" applyProtection="1">
      <alignment/>
      <protection/>
    </xf>
    <xf numFmtId="0" fontId="6" fillId="7" borderId="21" xfId="0" applyFont="1" applyFill="1" applyBorder="1" applyAlignment="1" applyProtection="1">
      <alignment/>
      <protection/>
    </xf>
    <xf numFmtId="2" fontId="0" fillId="6" borderId="13" xfId="0" applyNumberFormat="1" applyFill="1" applyBorder="1" applyAlignment="1" applyProtection="1">
      <alignment/>
      <protection/>
    </xf>
    <xf numFmtId="0" fontId="0" fillId="6" borderId="1" xfId="0" applyFill="1" applyBorder="1" applyAlignment="1" applyProtection="1">
      <alignment/>
      <protection/>
    </xf>
    <xf numFmtId="0" fontId="0" fillId="6" borderId="21" xfId="0" applyFill="1" applyBorder="1" applyAlignment="1" applyProtection="1">
      <alignment/>
      <protection/>
    </xf>
    <xf numFmtId="2" fontId="1" fillId="5" borderId="1" xfId="0" applyNumberFormat="1" applyFont="1" applyFill="1" applyBorder="1" applyAlignment="1" applyProtection="1">
      <alignment/>
      <protection/>
    </xf>
    <xf numFmtId="2" fontId="0" fillId="6" borderId="10" xfId="0" applyNumberFormat="1" applyFill="1" applyBorder="1" applyAlignment="1" applyProtection="1">
      <alignment/>
      <protection/>
    </xf>
    <xf numFmtId="2" fontId="6" fillId="4" borderId="1" xfId="0" applyNumberFormat="1" applyFont="1" applyFill="1" applyBorder="1" applyAlignment="1" applyProtection="1">
      <alignment/>
      <protection/>
    </xf>
    <xf numFmtId="2" fontId="12" fillId="0" borderId="1" xfId="0" applyNumberFormat="1" applyFont="1" applyBorder="1" applyAlignment="1" applyProtection="1">
      <alignment/>
      <protection/>
    </xf>
    <xf numFmtId="2" fontId="0" fillId="6" borderId="18" xfId="0" applyNumberFormat="1" applyFill="1" applyBorder="1" applyAlignment="1" applyProtection="1">
      <alignment/>
      <protection/>
    </xf>
    <xf numFmtId="2" fontId="0" fillId="4" borderId="1" xfId="0" applyNumberFormat="1" applyFill="1" applyBorder="1" applyAlignment="1" applyProtection="1">
      <alignment/>
      <protection/>
    </xf>
    <xf numFmtId="0" fontId="0" fillId="0" borderId="0" xfId="0" applyFill="1" applyBorder="1" applyAlignment="1" applyProtection="1">
      <alignment horizontal="center"/>
      <protection/>
    </xf>
    <xf numFmtId="165" fontId="6" fillId="0" borderId="15" xfId="0" applyNumberFormat="1" applyFont="1" applyBorder="1" applyAlignment="1" applyProtection="1">
      <alignment/>
      <protection/>
    </xf>
    <xf numFmtId="0" fontId="6" fillId="10" borderId="1" xfId="0" applyFont="1" applyFill="1" applyBorder="1" applyAlignment="1" applyProtection="1">
      <alignment/>
      <protection/>
    </xf>
    <xf numFmtId="0" fontId="0" fillId="6" borderId="21" xfId="0" applyFont="1" applyFill="1" applyBorder="1" applyAlignment="1" applyProtection="1">
      <alignment/>
      <protection/>
    </xf>
    <xf numFmtId="0" fontId="0" fillId="6" borderId="0" xfId="0" applyFont="1" applyFill="1" applyBorder="1" applyAlignment="1" applyProtection="1">
      <alignment/>
      <protection/>
    </xf>
    <xf numFmtId="0" fontId="0" fillId="6" borderId="0" xfId="0" applyFill="1" applyAlignment="1" applyProtection="1">
      <alignment/>
      <protection/>
    </xf>
    <xf numFmtId="0" fontId="0" fillId="0" borderId="1" xfId="0" applyNumberFormat="1" applyBorder="1" applyAlignment="1" applyProtection="1">
      <alignment/>
      <protection/>
    </xf>
    <xf numFmtId="0" fontId="0" fillId="0" borderId="0" xfId="0" applyNumberFormat="1" applyAlignment="1" applyProtection="1">
      <alignment/>
      <protection/>
    </xf>
    <xf numFmtId="0" fontId="0" fillId="0" borderId="0" xfId="0" applyAlignment="1" applyProtection="1">
      <alignment/>
      <protection/>
    </xf>
    <xf numFmtId="0" fontId="0" fillId="0" borderId="0" xfId="0" applyFont="1" applyBorder="1" applyAlignment="1" applyProtection="1">
      <alignment/>
      <protection/>
    </xf>
    <xf numFmtId="0" fontId="3" fillId="11" borderId="0" xfId="0" applyFont="1" applyFill="1" applyAlignment="1" applyProtection="1">
      <alignment/>
      <protection/>
    </xf>
    <xf numFmtId="0" fontId="17" fillId="0" borderId="0" xfId="0" applyFont="1" applyFill="1" applyBorder="1" applyAlignment="1" applyProtection="1">
      <alignment/>
      <protection/>
    </xf>
    <xf numFmtId="0" fontId="18" fillId="0" borderId="0" xfId="0" applyNumberFormat="1" applyFont="1" applyFill="1" applyBorder="1" applyAlignment="1" applyProtection="1">
      <alignment/>
      <protection/>
    </xf>
    <xf numFmtId="0" fontId="2" fillId="2" borderId="1" xfId="0" applyFont="1" applyFill="1" applyBorder="1" applyAlignment="1" applyProtection="1">
      <alignment horizontal="center"/>
      <protection locked="0"/>
    </xf>
    <xf numFmtId="0" fontId="3" fillId="0" borderId="0" xfId="0" applyFont="1" applyFill="1" applyAlignment="1" applyProtection="1">
      <alignment/>
      <protection/>
    </xf>
    <xf numFmtId="14" fontId="6" fillId="0" borderId="1" xfId="0" applyNumberFormat="1" applyFont="1" applyFill="1" applyBorder="1" applyAlignment="1" applyProtection="1">
      <alignment/>
      <protection/>
    </xf>
    <xf numFmtId="4" fontId="0" fillId="0" borderId="1" xfId="0" applyNumberFormat="1" applyFill="1" applyBorder="1" applyAlignment="1" applyProtection="1">
      <alignment/>
      <protection/>
    </xf>
    <xf numFmtId="0" fontId="6" fillId="5" borderId="1" xfId="0" applyFont="1" applyFill="1" applyBorder="1" applyAlignment="1" applyProtection="1">
      <alignment horizontal="center"/>
      <protection/>
    </xf>
    <xf numFmtId="0" fontId="6" fillId="4" borderId="1" xfId="0" applyFont="1" applyFill="1" applyBorder="1" applyAlignment="1" applyProtection="1">
      <alignment/>
      <protection/>
    </xf>
    <xf numFmtId="0" fontId="6" fillId="7" borderId="1" xfId="0" applyFont="1" applyFill="1" applyBorder="1" applyAlignment="1" applyProtection="1">
      <alignment horizontal="center"/>
      <protection/>
    </xf>
    <xf numFmtId="0" fontId="0" fillId="12" borderId="0" xfId="0" applyFont="1" applyFill="1" applyBorder="1" applyAlignment="1" applyProtection="1">
      <alignment/>
      <protection/>
    </xf>
    <xf numFmtId="2" fontId="8" fillId="0" borderId="1" xfId="0" applyNumberFormat="1" applyFont="1" applyBorder="1" applyAlignment="1" applyProtection="1">
      <alignment horizontal="center"/>
      <protection/>
    </xf>
    <xf numFmtId="0" fontId="6" fillId="0" borderId="0" xfId="0" applyFont="1" applyFill="1" applyBorder="1" applyAlignment="1" applyProtection="1">
      <alignment horizontal="center"/>
      <protection/>
    </xf>
    <xf numFmtId="0" fontId="4" fillId="0" borderId="0" xfId="0" applyFont="1" applyBorder="1" applyAlignment="1" applyProtection="1">
      <alignment horizontal="center"/>
      <protection/>
    </xf>
    <xf numFmtId="0" fontId="2" fillId="0" borderId="0" xfId="0" applyFont="1" applyBorder="1" applyAlignment="1" applyProtection="1">
      <alignment horizontal="center"/>
      <protection/>
    </xf>
    <xf numFmtId="0" fontId="14" fillId="0" borderId="0" xfId="0" applyFont="1" applyAlignment="1" applyProtection="1">
      <alignment horizontal="center" vertical="center" wrapText="1"/>
      <protection/>
    </xf>
    <xf numFmtId="0" fontId="15" fillId="0" borderId="0" xfId="0" applyFont="1" applyAlignment="1" applyProtection="1">
      <alignment horizontal="center" vertical="center" wrapText="1"/>
      <protection/>
    </xf>
    <xf numFmtId="0" fontId="2"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0" fontId="16" fillId="11" borderId="0" xfId="0" applyFont="1" applyFill="1" applyAlignment="1" applyProtection="1">
      <alignment horizontal="center" vertical="center"/>
      <protection/>
    </xf>
    <xf numFmtId="0" fontId="0" fillId="0" borderId="0" xfId="0" applyAlignment="1" applyProtection="1">
      <alignment/>
      <protection/>
    </xf>
    <xf numFmtId="0" fontId="2" fillId="0" borderId="0" xfId="0" applyFont="1" applyFill="1" applyAlignment="1" applyProtection="1">
      <alignment horizontal="center" vertical="top" wrapText="1"/>
      <protection/>
    </xf>
    <xf numFmtId="0" fontId="6" fillId="9" borderId="20" xfId="0" applyFont="1" applyFill="1" applyBorder="1" applyAlignment="1" applyProtection="1">
      <alignment horizontal="center"/>
      <protection/>
    </xf>
    <xf numFmtId="4" fontId="2" fillId="0" borderId="1" xfId="0" applyNumberFormat="1" applyFont="1" applyBorder="1" applyAlignment="1" applyProtection="1">
      <alignment horizontal="center"/>
      <protection/>
    </xf>
    <xf numFmtId="0" fontId="0" fillId="0" borderId="0" xfId="0" applyAlignment="1">
      <alignment/>
    </xf>
    <xf numFmtId="0" fontId="6" fillId="13" borderId="0" xfId="0" applyFont="1" applyFill="1" applyAlignment="1" applyProtection="1">
      <alignment horizontal="center" vertical="center" wrapText="1"/>
      <protection/>
    </xf>
    <xf numFmtId="0" fontId="2" fillId="11" borderId="0" xfId="0" applyFont="1" applyFill="1" applyAlignment="1" applyProtection="1">
      <alignment horizontal="center" vertical="top" wrapText="1"/>
      <protection/>
    </xf>
    <xf numFmtId="0" fontId="6" fillId="14" borderId="22" xfId="0" applyFont="1" applyFill="1" applyBorder="1" applyAlignment="1" applyProtection="1">
      <alignment horizontal="center"/>
      <protection/>
    </xf>
    <xf numFmtId="0" fontId="6" fillId="14" borderId="23" xfId="0" applyFont="1" applyFill="1" applyBorder="1" applyAlignment="1" applyProtection="1">
      <alignment horizontal="center"/>
      <protection/>
    </xf>
    <xf numFmtId="0" fontId="6" fillId="4" borderId="22" xfId="0" applyFont="1" applyFill="1" applyBorder="1" applyAlignment="1" applyProtection="1">
      <alignment/>
      <protection/>
    </xf>
    <xf numFmtId="0" fontId="0" fillId="0" borderId="23" xfId="0" applyBorder="1" applyAlignment="1" applyProtection="1">
      <alignment/>
      <protection/>
    </xf>
    <xf numFmtId="0" fontId="14" fillId="0" borderId="0"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ont>
        <b/>
        <i val="0"/>
        <color rgb="FFFFFF00"/>
      </font>
      <fill>
        <patternFill patternType="solid">
          <fgColor rgb="FF800080"/>
          <bgColor rgb="FF800080"/>
        </patternFill>
      </fill>
      <border/>
    </dxf>
    <dxf>
      <font>
        <b/>
        <i val="0"/>
        <color rgb="FF969696"/>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23FF23"/>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25</xdr:row>
      <xdr:rowOff>57150</xdr:rowOff>
    </xdr:from>
    <xdr:to>
      <xdr:col>3</xdr:col>
      <xdr:colOff>1314450</xdr:colOff>
      <xdr:row>31</xdr:row>
      <xdr:rowOff>133350</xdr:rowOff>
    </xdr:to>
    <xdr:pic>
      <xdr:nvPicPr>
        <xdr:cNvPr id="1" name="Picture 2"/>
        <xdr:cNvPicPr preferRelativeResize="1">
          <a:picLocks noChangeAspect="1"/>
        </xdr:cNvPicPr>
      </xdr:nvPicPr>
      <xdr:blipFill>
        <a:blip r:embed="rId1"/>
        <a:stretch>
          <a:fillRect/>
        </a:stretch>
      </xdr:blipFill>
      <xdr:spPr>
        <a:xfrm>
          <a:off x="2381250" y="4476750"/>
          <a:ext cx="1123950" cy="1047750"/>
        </a:xfrm>
        <a:prstGeom prst="rect">
          <a:avLst/>
        </a:prstGeom>
        <a:noFill/>
        <a:ln w="9525" cmpd="sng">
          <a:noFill/>
        </a:ln>
      </xdr:spPr>
    </xdr:pic>
    <xdr:clientData/>
  </xdr:twoCellAnchor>
  <xdr:twoCellAnchor editAs="oneCell">
    <xdr:from>
      <xdr:col>11</xdr:col>
      <xdr:colOff>38100</xdr:colOff>
      <xdr:row>1</xdr:row>
      <xdr:rowOff>38100</xdr:rowOff>
    </xdr:from>
    <xdr:to>
      <xdr:col>11</xdr:col>
      <xdr:colOff>1162050</xdr:colOff>
      <xdr:row>7</xdr:row>
      <xdr:rowOff>38100</xdr:rowOff>
    </xdr:to>
    <xdr:pic>
      <xdr:nvPicPr>
        <xdr:cNvPr id="2" name="Picture 3"/>
        <xdr:cNvPicPr preferRelativeResize="1">
          <a:picLocks noChangeAspect="1"/>
        </xdr:cNvPicPr>
      </xdr:nvPicPr>
      <xdr:blipFill>
        <a:blip r:embed="rId2"/>
        <a:stretch>
          <a:fillRect/>
        </a:stretch>
      </xdr:blipFill>
      <xdr:spPr>
        <a:xfrm>
          <a:off x="7143750" y="200025"/>
          <a:ext cx="1123950"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25</xdr:row>
      <xdr:rowOff>28575</xdr:rowOff>
    </xdr:from>
    <xdr:to>
      <xdr:col>3</xdr:col>
      <xdr:colOff>1285875</xdr:colOff>
      <xdr:row>31</xdr:row>
      <xdr:rowOff>104775</xdr:rowOff>
    </xdr:to>
    <xdr:pic>
      <xdr:nvPicPr>
        <xdr:cNvPr id="1" name="Picture 1"/>
        <xdr:cNvPicPr preferRelativeResize="1">
          <a:picLocks noChangeAspect="1"/>
        </xdr:cNvPicPr>
      </xdr:nvPicPr>
      <xdr:blipFill>
        <a:blip r:embed="rId1"/>
        <a:stretch>
          <a:fillRect/>
        </a:stretch>
      </xdr:blipFill>
      <xdr:spPr>
        <a:xfrm>
          <a:off x="2381250" y="4581525"/>
          <a:ext cx="1123950" cy="1047750"/>
        </a:xfrm>
        <a:prstGeom prst="rect">
          <a:avLst/>
        </a:prstGeom>
        <a:noFill/>
        <a:ln w="9525" cmpd="sng">
          <a:noFill/>
        </a:ln>
      </xdr:spPr>
    </xdr:pic>
    <xdr:clientData/>
  </xdr:twoCellAnchor>
  <xdr:twoCellAnchor editAs="oneCell">
    <xdr:from>
      <xdr:col>11</xdr:col>
      <xdr:colOff>38100</xdr:colOff>
      <xdr:row>5</xdr:row>
      <xdr:rowOff>38100</xdr:rowOff>
    </xdr:from>
    <xdr:to>
      <xdr:col>11</xdr:col>
      <xdr:colOff>1162050</xdr:colOff>
      <xdr:row>10</xdr:row>
      <xdr:rowOff>152400</xdr:rowOff>
    </xdr:to>
    <xdr:pic>
      <xdr:nvPicPr>
        <xdr:cNvPr id="2" name="Picture 2"/>
        <xdr:cNvPicPr preferRelativeResize="1">
          <a:picLocks noChangeAspect="1"/>
        </xdr:cNvPicPr>
      </xdr:nvPicPr>
      <xdr:blipFill>
        <a:blip r:embed="rId2"/>
        <a:stretch>
          <a:fillRect/>
        </a:stretch>
      </xdr:blipFill>
      <xdr:spPr>
        <a:xfrm>
          <a:off x="7077075" y="933450"/>
          <a:ext cx="11239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P_Propri&#233;taire/Mes%20documents/CHIMIE%20IDCC%2044.doc"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B1:BW71"/>
  <sheetViews>
    <sheetView showGridLines="0" tabSelected="1" workbookViewId="0" topLeftCell="A1">
      <selection activeCell="D11" sqref="D11"/>
    </sheetView>
  </sheetViews>
  <sheetFormatPr defaultColWidth="11.421875" defaultRowHeight="12.75"/>
  <cols>
    <col min="1" max="1" width="3.7109375" style="4" customWidth="1"/>
    <col min="2" max="2" width="19.00390625" style="4" customWidth="1"/>
    <col min="3" max="3" width="10.140625" style="4" customWidth="1"/>
    <col min="4" max="4" width="44.7109375" style="4" customWidth="1"/>
    <col min="5" max="5" width="2.421875" style="4" customWidth="1"/>
    <col min="6" max="6" width="10.7109375" style="4" customWidth="1"/>
    <col min="7" max="7" width="9.00390625" style="4" customWidth="1"/>
    <col min="8" max="11" width="1.7109375" style="4" customWidth="1"/>
    <col min="12" max="34" width="21.7109375" style="4" customWidth="1"/>
    <col min="35" max="53" width="1.7109375" style="4" customWidth="1"/>
    <col min="54" max="54" width="20.8515625" style="4" customWidth="1"/>
    <col min="55" max="55" width="9.8515625" style="4" customWidth="1"/>
    <col min="56" max="56" width="11.57421875" style="4" customWidth="1"/>
    <col min="57" max="57" width="11.8515625" style="4" customWidth="1"/>
    <col min="58" max="58" width="11.28125" style="4" customWidth="1"/>
    <col min="59" max="59" width="14.57421875" style="4" customWidth="1"/>
    <col min="60" max="60" width="15.00390625" style="4" customWidth="1"/>
    <col min="61" max="61" width="15.57421875" style="4" customWidth="1"/>
    <col min="62" max="62" width="10.421875" style="4" customWidth="1"/>
    <col min="63" max="63" width="6.421875" style="4" customWidth="1"/>
    <col min="64" max="64" width="13.7109375" style="4" customWidth="1"/>
    <col min="65" max="65" width="12.8515625" style="4" customWidth="1"/>
    <col min="66" max="66" width="13.57421875" style="4" customWidth="1"/>
    <col min="67" max="67" width="18.421875" style="4" customWidth="1"/>
    <col min="68" max="69" width="14.28125" style="8" customWidth="1"/>
    <col min="70" max="71" width="11.421875" style="8" customWidth="1"/>
    <col min="72" max="72" width="11.00390625" style="9" customWidth="1"/>
    <col min="73" max="16384" width="11.421875" style="4" customWidth="1"/>
  </cols>
  <sheetData>
    <row r="1" spans="54:67" ht="12.75" customHeight="1">
      <c r="BB1" s="5" t="s">
        <v>0</v>
      </c>
      <c r="BC1" s="6"/>
      <c r="BD1" s="6"/>
      <c r="BE1" s="6"/>
      <c r="BF1" s="6"/>
      <c r="BG1" s="6"/>
      <c r="BH1" s="6"/>
      <c r="BI1" s="6"/>
      <c r="BJ1" s="6"/>
      <c r="BK1" s="6"/>
      <c r="BL1" s="7" t="s">
        <v>1</v>
      </c>
      <c r="BM1" s="8"/>
      <c r="BN1" s="8"/>
      <c r="BO1" s="8"/>
    </row>
    <row r="2" spans="2:72" s="10" customFormat="1" ht="18">
      <c r="B2" s="127" t="s">
        <v>73</v>
      </c>
      <c r="C2" s="127"/>
      <c r="D2" s="127"/>
      <c r="E2" s="127"/>
      <c r="F2" s="127"/>
      <c r="G2" s="127"/>
      <c r="L2" s="114"/>
      <c r="M2" s="133" t="s">
        <v>76</v>
      </c>
      <c r="N2" s="138"/>
      <c r="BB2" s="11"/>
      <c r="BC2" s="11"/>
      <c r="BD2" s="11"/>
      <c r="BE2" s="11"/>
      <c r="BF2" s="11"/>
      <c r="BG2" s="11"/>
      <c r="BH2" s="11"/>
      <c r="BI2" s="11"/>
      <c r="BJ2" s="11"/>
      <c r="BK2" s="11"/>
      <c r="BL2" s="12"/>
      <c r="BM2" s="12"/>
      <c r="BN2" s="12"/>
      <c r="BO2" s="12"/>
      <c r="BP2" s="12"/>
      <c r="BQ2" s="12"/>
      <c r="BR2" s="12"/>
      <c r="BS2" s="13"/>
      <c r="BT2" s="9"/>
    </row>
    <row r="3" spans="2:72" s="10" customFormat="1" ht="14.25" customHeight="1">
      <c r="B3" s="128" t="s">
        <v>72</v>
      </c>
      <c r="C3" s="128"/>
      <c r="D3" s="128"/>
      <c r="E3" s="128"/>
      <c r="F3" s="128"/>
      <c r="L3" s="114"/>
      <c r="M3" s="138"/>
      <c r="N3" s="138"/>
      <c r="BB3" s="3" t="s">
        <v>65</v>
      </c>
      <c r="BC3" s="11"/>
      <c r="BD3" s="11"/>
      <c r="BE3" s="11"/>
      <c r="BF3" s="11"/>
      <c r="BG3" s="11"/>
      <c r="BH3" s="11"/>
      <c r="BI3" s="11"/>
      <c r="BJ3" s="11"/>
      <c r="BK3" s="11"/>
      <c r="BL3" s="12"/>
      <c r="BM3" s="12"/>
      <c r="BN3" s="12"/>
      <c r="BO3" s="12"/>
      <c r="BP3" s="12"/>
      <c r="BQ3" s="12"/>
      <c r="BR3" s="14">
        <v>1</v>
      </c>
      <c r="BS3" s="9" t="s">
        <v>2</v>
      </c>
      <c r="BT3" s="9" t="str">
        <f>LOOKUP(MONTH(BM5)-1+IF(MONTH(BM5)-1&gt;0,0,12),BR3:BR14,BS3:BS14)</f>
        <v>novembre</v>
      </c>
    </row>
    <row r="4" spans="12:75" ht="12.75" customHeight="1">
      <c r="L4" s="114"/>
      <c r="M4" s="138"/>
      <c r="N4" s="138"/>
      <c r="BB4" s="6"/>
      <c r="BC4" s="6"/>
      <c r="BD4" s="6"/>
      <c r="BE4" s="6"/>
      <c r="BF4" s="6"/>
      <c r="BG4" s="6"/>
      <c r="BH4" s="6"/>
      <c r="BI4" s="6"/>
      <c r="BJ4" s="6"/>
      <c r="BK4" s="6"/>
      <c r="BL4" s="8"/>
      <c r="BM4" s="8"/>
      <c r="BN4" s="8"/>
      <c r="BO4" s="8"/>
      <c r="BR4" s="14">
        <v>2</v>
      </c>
      <c r="BS4" s="9" t="s">
        <v>3</v>
      </c>
      <c r="BT4" s="9" t="str">
        <f>LOOKUP(MONTH(BM5)-2+IF(MONTH(BM5)-2&gt;0,0,12),BR3:BR14,BS3:BS14)</f>
        <v>octobre</v>
      </c>
      <c r="BW4" s="15"/>
    </row>
    <row r="5" spans="6:72" ht="18">
      <c r="F5" s="115"/>
      <c r="G5" s="115"/>
      <c r="L5" s="114"/>
      <c r="M5" s="138"/>
      <c r="N5" s="138"/>
      <c r="BA5" s="16"/>
      <c r="BB5" s="17"/>
      <c r="BC5" s="6"/>
      <c r="BD5" s="6"/>
      <c r="BE5" s="6"/>
      <c r="BF5" s="6"/>
      <c r="BG5" s="6"/>
      <c r="BH5" s="6"/>
      <c r="BI5" s="6"/>
      <c r="BJ5" s="6"/>
      <c r="BK5" s="6"/>
      <c r="BL5" s="18" t="s">
        <v>4</v>
      </c>
      <c r="BM5" s="18">
        <f ca="1">TODAY()</f>
        <v>41262</v>
      </c>
      <c r="BN5" s="8"/>
      <c r="BO5" s="8"/>
      <c r="BR5" s="14">
        <v>3</v>
      </c>
      <c r="BS5" s="9" t="s">
        <v>5</v>
      </c>
      <c r="BT5" s="9" t="str">
        <f>LOOKUP(MONTH(BM5)-3+IF(MONTH(BM5)-3&gt;0,0,12),BR3:BR14,BS3:BS14)</f>
        <v>septembre</v>
      </c>
    </row>
    <row r="6" spans="2:72" ht="12.75" customHeight="1">
      <c r="B6" s="19" t="s">
        <v>6</v>
      </c>
      <c r="C6" s="1">
        <v>20631</v>
      </c>
      <c r="D6" s="147" t="s">
        <v>75</v>
      </c>
      <c r="E6" s="148"/>
      <c r="F6" s="115"/>
      <c r="G6" s="115"/>
      <c r="L6" s="114"/>
      <c r="M6" s="138"/>
      <c r="N6" s="138"/>
      <c r="BA6" s="16"/>
      <c r="BB6" s="17"/>
      <c r="BC6" s="6"/>
      <c r="BD6" s="6"/>
      <c r="BE6" s="6"/>
      <c r="BF6" s="6"/>
      <c r="BG6" s="6"/>
      <c r="BH6" s="6"/>
      <c r="BI6" s="6"/>
      <c r="BJ6" s="6"/>
      <c r="BK6" s="6"/>
      <c r="BL6" s="20" t="s">
        <v>8</v>
      </c>
      <c r="BM6" s="21">
        <f>(BM5-C6)/365</f>
        <v>56.52328767123288</v>
      </c>
      <c r="BN6" s="8"/>
      <c r="BO6" s="8"/>
      <c r="BR6" s="14">
        <v>4</v>
      </c>
      <c r="BS6" s="9" t="s">
        <v>9</v>
      </c>
      <c r="BT6" s="9" t="str">
        <f>LOOKUP(MONTH(BM5)-4+IF(MONTH(BM5)-4&gt;0,0,12),BR3:BR14,BS3:BS14)</f>
        <v>août</v>
      </c>
    </row>
    <row r="7" spans="4:72" ht="18">
      <c r="D7" s="148"/>
      <c r="E7" s="148"/>
      <c r="F7" s="116">
        <v>100</v>
      </c>
      <c r="G7" s="115"/>
      <c r="L7" s="114"/>
      <c r="M7" s="138"/>
      <c r="N7" s="138"/>
      <c r="BA7" s="16"/>
      <c r="BB7" s="17"/>
      <c r="BC7" s="6"/>
      <c r="BD7" s="6"/>
      <c r="BE7" s="6"/>
      <c r="BF7" s="6"/>
      <c r="BG7" s="6"/>
      <c r="BH7" s="6"/>
      <c r="BI7" s="6"/>
      <c r="BJ7" s="6"/>
      <c r="BK7" s="6"/>
      <c r="BL7" s="8"/>
      <c r="BM7" s="8"/>
      <c r="BN7" s="8"/>
      <c r="BO7" s="8"/>
      <c r="BR7" s="14">
        <v>5</v>
      </c>
      <c r="BS7" s="9" t="s">
        <v>11</v>
      </c>
      <c r="BT7" s="9" t="str">
        <f>LOOKUP(MONTH(BM5)-5+IF(MONTH(BM5)-5&gt;0,0,12),BR3:BR14,BS3:BS14)</f>
        <v>juillet</v>
      </c>
    </row>
    <row r="8" spans="2:72" ht="18">
      <c r="B8" s="19" t="s">
        <v>12</v>
      </c>
      <c r="C8" s="1">
        <v>29164</v>
      </c>
      <c r="D8" s="148"/>
      <c r="E8" s="148"/>
      <c r="F8" s="115"/>
      <c r="G8" s="115"/>
      <c r="L8" s="114"/>
      <c r="M8" s="138"/>
      <c r="N8" s="138"/>
      <c r="BA8" s="16"/>
      <c r="BB8" s="17"/>
      <c r="BC8" s="6"/>
      <c r="BD8" s="6"/>
      <c r="BE8" s="6"/>
      <c r="BF8" s="6"/>
      <c r="BG8" s="6"/>
      <c r="BH8" s="6"/>
      <c r="BI8" s="6"/>
      <c r="BJ8" s="6"/>
      <c r="BK8" s="6"/>
      <c r="BL8" s="8"/>
      <c r="BM8" s="22" t="s">
        <v>13</v>
      </c>
      <c r="BN8" s="22" t="s">
        <v>14</v>
      </c>
      <c r="BO8" s="22" t="s">
        <v>15</v>
      </c>
      <c r="BR8" s="14">
        <v>6</v>
      </c>
      <c r="BS8" s="9" t="s">
        <v>16</v>
      </c>
      <c r="BT8" s="9" t="str">
        <f>LOOKUP(MONTH(BM5)-6+IF(MONTH(BM5)-6&gt;0,0,12),BR3:BR14,BS3:BS14)</f>
        <v>juin</v>
      </c>
    </row>
    <row r="9" spans="2:72" ht="18" customHeight="1">
      <c r="B9" s="19" t="s">
        <v>17</v>
      </c>
      <c r="C9" s="1">
        <v>41212</v>
      </c>
      <c r="D9" s="148"/>
      <c r="E9" s="148"/>
      <c r="L9" s="140" t="s">
        <v>77</v>
      </c>
      <c r="M9" s="140"/>
      <c r="N9" s="140"/>
      <c r="BA9" s="16"/>
      <c r="BB9" s="17"/>
      <c r="BC9" s="6"/>
      <c r="BD9" s="6"/>
      <c r="BE9" s="6"/>
      <c r="BF9" s="6"/>
      <c r="BG9" s="6"/>
      <c r="BH9" s="6"/>
      <c r="BI9" s="6"/>
      <c r="BJ9" s="6"/>
      <c r="BK9" s="6"/>
      <c r="BL9" s="8" t="s">
        <v>18</v>
      </c>
      <c r="BM9" s="8">
        <f>DAY(C8)</f>
        <v>5</v>
      </c>
      <c r="BN9" s="8">
        <f>MONTH(C8)</f>
        <v>11</v>
      </c>
      <c r="BO9" s="8">
        <f>YEAR(C8)</f>
        <v>1979</v>
      </c>
      <c r="BR9" s="14">
        <v>7</v>
      </c>
      <c r="BS9" s="9" t="s">
        <v>19</v>
      </c>
      <c r="BT9" s="9" t="str">
        <f>LOOKUP(MONTH(BM5)-7+IF(MONTH(BM5)-7&gt;0,0,12),BR3:BR14,BS3:BS14)</f>
        <v>mai</v>
      </c>
    </row>
    <row r="10" spans="12:72" ht="12.75" customHeight="1">
      <c r="L10" s="140"/>
      <c r="M10" s="140"/>
      <c r="N10" s="140"/>
      <c r="BB10" s="6"/>
      <c r="BC10" s="6"/>
      <c r="BD10" s="6"/>
      <c r="BE10" s="6"/>
      <c r="BF10" s="6"/>
      <c r="BG10" s="6"/>
      <c r="BH10" s="6"/>
      <c r="BI10" s="6"/>
      <c r="BJ10" s="6"/>
      <c r="BK10" s="6"/>
      <c r="BL10" s="8" t="s">
        <v>20</v>
      </c>
      <c r="BM10" s="8">
        <f>DAY(C9)</f>
        <v>30</v>
      </c>
      <c r="BN10" s="8">
        <f>MONTH(C9)</f>
        <v>10</v>
      </c>
      <c r="BO10" s="8">
        <f>YEAR(C9)</f>
        <v>2012</v>
      </c>
      <c r="BR10" s="14">
        <v>8</v>
      </c>
      <c r="BS10" s="9" t="s">
        <v>21</v>
      </c>
      <c r="BT10" s="9" t="str">
        <f>LOOKUP(MONTH(BM5)-8+IF(MONTH(BM5)-8&gt;0,0,12),BR3:BR14,BS3:BS14)</f>
        <v>avril</v>
      </c>
    </row>
    <row r="11" spans="2:72" ht="12.75" customHeight="1">
      <c r="B11" s="123" t="s">
        <v>22</v>
      </c>
      <c r="C11" s="123"/>
      <c r="D11" s="117" t="s">
        <v>66</v>
      </c>
      <c r="F11" s="123" t="s">
        <v>24</v>
      </c>
      <c r="G11" s="123"/>
      <c r="L11" s="140"/>
      <c r="M11" s="140"/>
      <c r="N11" s="140"/>
      <c r="BB11" s="6"/>
      <c r="BC11" s="23" t="s">
        <v>25</v>
      </c>
      <c r="BD11" s="6"/>
      <c r="BE11" s="24" t="s">
        <v>26</v>
      </c>
      <c r="BF11" s="24" t="s">
        <v>27</v>
      </c>
      <c r="BG11" s="6"/>
      <c r="BH11" s="6"/>
      <c r="BI11" s="6"/>
      <c r="BJ11" s="6"/>
      <c r="BK11" s="6"/>
      <c r="BL11" s="8"/>
      <c r="BM11" s="25">
        <f>BM10-BM9</f>
        <v>25</v>
      </c>
      <c r="BN11" s="25">
        <f>BN10-BN9</f>
        <v>-1</v>
      </c>
      <c r="BO11" s="25">
        <f>BO10-BO9</f>
        <v>33</v>
      </c>
      <c r="BR11" s="14">
        <v>9</v>
      </c>
      <c r="BS11" s="9" t="s">
        <v>28</v>
      </c>
      <c r="BT11" s="9" t="str">
        <f>LOOKUP(MONTH(BM5)-9+IF(MONTH(BM5)-9&gt;0,0,12),BR3:BR14,BS3:BS14)</f>
        <v>mars</v>
      </c>
    </row>
    <row r="12" spans="2:72" ht="12.75" customHeight="1">
      <c r="B12" s="26">
        <f>BM14</f>
        <v>32.9851598173516</v>
      </c>
      <c r="C12" s="27" t="s">
        <v>29</v>
      </c>
      <c r="F12" s="28">
        <f>BO11</f>
        <v>33</v>
      </c>
      <c r="G12" s="29" t="s">
        <v>29</v>
      </c>
      <c r="L12" s="140"/>
      <c r="M12" s="140"/>
      <c r="N12" s="140"/>
      <c r="BB12" s="30" t="s">
        <v>30</v>
      </c>
      <c r="BC12" s="31">
        <v>1</v>
      </c>
      <c r="BD12" s="23" t="s">
        <v>14</v>
      </c>
      <c r="BE12" s="32">
        <v>0.2</v>
      </c>
      <c r="BF12" s="32">
        <f>2/15</f>
        <v>0.13333333333333333</v>
      </c>
      <c r="BG12" s="6"/>
      <c r="BH12" s="6"/>
      <c r="BI12" s="6"/>
      <c r="BJ12" s="6"/>
      <c r="BK12" s="6"/>
      <c r="BL12" s="8" t="s">
        <v>31</v>
      </c>
      <c r="BM12" s="8"/>
      <c r="BN12" s="8"/>
      <c r="BO12" s="8"/>
      <c r="BR12" s="14">
        <v>10</v>
      </c>
      <c r="BS12" s="9" t="s">
        <v>32</v>
      </c>
      <c r="BT12" s="9" t="str">
        <f>LOOKUP(MONTH(BM5)-10+IF(MONTH(BM5)-10&gt;0,0,12),BR3:BR14,BS3:BS14)</f>
        <v>février</v>
      </c>
    </row>
    <row r="13" spans="6:72" ht="12.75" customHeight="1">
      <c r="F13" s="28">
        <f>BN11</f>
        <v>-1</v>
      </c>
      <c r="G13" s="29" t="s">
        <v>14</v>
      </c>
      <c r="L13" s="140"/>
      <c r="M13" s="140"/>
      <c r="N13" s="140"/>
      <c r="BB13" s="33" t="s">
        <v>33</v>
      </c>
      <c r="BC13" s="34">
        <v>2</v>
      </c>
      <c r="BD13" s="6"/>
      <c r="BE13" s="6"/>
      <c r="BF13" s="6"/>
      <c r="BG13" s="6"/>
      <c r="BH13" s="6"/>
      <c r="BI13" s="6"/>
      <c r="BJ13" s="6"/>
      <c r="BK13" s="6"/>
      <c r="BL13" s="8" t="s">
        <v>34</v>
      </c>
      <c r="BM13" s="35">
        <f>BM11/365</f>
        <v>0.0684931506849315</v>
      </c>
      <c r="BN13" s="35">
        <f>F13/12</f>
        <v>-0.08333333333333333</v>
      </c>
      <c r="BO13" s="35">
        <f>BO11</f>
        <v>33</v>
      </c>
      <c r="BP13" s="141" t="s">
        <v>67</v>
      </c>
      <c r="BQ13" s="142"/>
      <c r="BR13" s="14">
        <v>11</v>
      </c>
      <c r="BS13" s="9" t="s">
        <v>35</v>
      </c>
      <c r="BT13" s="9" t="str">
        <f>LOOKUP(MONTH(BM5)-11+IF(MONTH(BM5)-11&gt;0,0,12),BR3:BR14,BS3:BS14)</f>
        <v>janvier</v>
      </c>
    </row>
    <row r="14" spans="6:72" ht="12.75" customHeight="1">
      <c r="F14" s="28">
        <f>BM11</f>
        <v>25</v>
      </c>
      <c r="G14" s="29" t="s">
        <v>36</v>
      </c>
      <c r="L14" s="140"/>
      <c r="M14" s="140"/>
      <c r="N14" s="140"/>
      <c r="BB14" s="37"/>
      <c r="BC14" s="38" t="s">
        <v>59</v>
      </c>
      <c r="BD14" s="38" t="s">
        <v>60</v>
      </c>
      <c r="BE14" s="38" t="s">
        <v>61</v>
      </c>
      <c r="BF14" s="91" t="s">
        <v>62</v>
      </c>
      <c r="BG14" s="38" t="s">
        <v>63</v>
      </c>
      <c r="BH14" s="38" t="s">
        <v>68</v>
      </c>
      <c r="BI14" s="38" t="s">
        <v>69</v>
      </c>
      <c r="BJ14" s="39" t="s">
        <v>43</v>
      </c>
      <c r="BK14" s="40"/>
      <c r="BL14" s="41" t="s">
        <v>37</v>
      </c>
      <c r="BM14" s="42">
        <f>IF(BB14="par année complète",INT(BM13+BN13+BO13),BM13+BN13+BO13)</f>
        <v>32.9851598173516</v>
      </c>
      <c r="BN14" s="8"/>
      <c r="BO14" s="43">
        <f>IF(B12&gt;BC13,"",IF(B12&gt;BC12,BB12,"Aucun droit"))</f>
      </c>
      <c r="BP14" s="143">
        <f>IF((B12&gt;BC12),ROUND(B12*BE12+MAX(B14-10,0)*BF12,2),0)</f>
        <v>6.6</v>
      </c>
      <c r="BQ14" s="144"/>
      <c r="BR14" s="14">
        <v>12</v>
      </c>
      <c r="BS14" s="9" t="s">
        <v>38</v>
      </c>
      <c r="BT14" s="9" t="str">
        <f>LOOKUP(MONTH(BM5)-12+IF(MONTH(BM5)-12&gt;0,0,12),BR3:BR14,BS3:BS14)</f>
        <v>décembre</v>
      </c>
    </row>
    <row r="15" spans="12:69" ht="13.5" customHeight="1">
      <c r="L15" s="140"/>
      <c r="M15" s="140"/>
      <c r="N15" s="140"/>
      <c r="BB15" s="44" t="s">
        <v>14</v>
      </c>
      <c r="BC15" s="45">
        <v>5</v>
      </c>
      <c r="BD15" s="45">
        <v>10</v>
      </c>
      <c r="BE15" s="45">
        <v>15</v>
      </c>
      <c r="BF15" s="45">
        <v>20</v>
      </c>
      <c r="BG15" s="46"/>
      <c r="BH15" s="45">
        <v>1</v>
      </c>
      <c r="BI15" s="45">
        <v>2</v>
      </c>
      <c r="BJ15" s="46"/>
      <c r="BK15" s="47"/>
      <c r="BL15" s="48"/>
      <c r="BM15" s="41"/>
      <c r="BN15" s="41"/>
      <c r="BO15" s="41"/>
      <c r="BP15" s="48"/>
      <c r="BQ15" s="48"/>
    </row>
    <row r="16" spans="12:69" ht="13.5" customHeight="1">
      <c r="L16" s="140"/>
      <c r="M16" s="140"/>
      <c r="N16" s="140"/>
      <c r="BB16" s="49" t="s">
        <v>57</v>
      </c>
      <c r="BC16" s="107">
        <v>0.3</v>
      </c>
      <c r="BD16" s="107">
        <v>0.3</v>
      </c>
      <c r="BE16" s="107">
        <v>0.4</v>
      </c>
      <c r="BF16" s="107">
        <v>0.4</v>
      </c>
      <c r="BG16" s="107">
        <v>0.5</v>
      </c>
      <c r="BH16" s="107">
        <v>50</v>
      </c>
      <c r="BI16" s="108">
        <v>55</v>
      </c>
      <c r="BJ16" s="107">
        <v>18</v>
      </c>
      <c r="BK16" s="47"/>
      <c r="BL16" s="48"/>
      <c r="BM16" s="41"/>
      <c r="BN16" s="41"/>
      <c r="BO16" s="41"/>
      <c r="BP16" s="48"/>
      <c r="BQ16" s="48"/>
    </row>
    <row r="17" spans="2:69" ht="12.75" customHeight="1">
      <c r="B17" s="123" t="s">
        <v>40</v>
      </c>
      <c r="C17" s="123"/>
      <c r="D17" s="123"/>
      <c r="F17" s="53" t="s">
        <v>41</v>
      </c>
      <c r="L17" s="140"/>
      <c r="M17" s="140"/>
      <c r="N17" s="140"/>
      <c r="BB17" s="49" t="s">
        <v>39</v>
      </c>
      <c r="BC17" s="96">
        <v>0.4</v>
      </c>
      <c r="BD17" s="96">
        <v>0.4</v>
      </c>
      <c r="BE17" s="96">
        <v>0.6</v>
      </c>
      <c r="BF17" s="96">
        <v>0.8</v>
      </c>
      <c r="BG17" s="96">
        <v>0.8</v>
      </c>
      <c r="BH17" s="96">
        <v>45</v>
      </c>
      <c r="BI17" s="96">
        <v>55</v>
      </c>
      <c r="BJ17" s="96">
        <v>20</v>
      </c>
      <c r="BK17" s="47"/>
      <c r="BL17" s="57" t="str">
        <f>D11</f>
        <v>Technicien</v>
      </c>
      <c r="BM17" s="58"/>
      <c r="BN17" s="58"/>
      <c r="BO17" s="58"/>
      <c r="BP17" s="58"/>
      <c r="BQ17" s="59"/>
    </row>
    <row r="18" spans="2:71" ht="12.75" customHeight="1">
      <c r="B18" s="19" t="str">
        <f>IF(B12&gt;BC13,CONCATENATE("Supérieure à ",BC13," ans"),"")</f>
        <v>Supérieure à 2 ans</v>
      </c>
      <c r="C18" s="60" t="str">
        <f>IF(B12&gt;BC13,"Oui","")</f>
        <v>Oui</v>
      </c>
      <c r="D18" s="19" t="str">
        <f>IF(C18="OUI",BB13,"")</f>
        <v>Droits convention ouverts</v>
      </c>
      <c r="F18" s="61"/>
      <c r="L18" s="140"/>
      <c r="M18" s="140"/>
      <c r="N18" s="140"/>
      <c r="BB18" s="49" t="s">
        <v>54</v>
      </c>
      <c r="BC18" s="96">
        <v>0.3</v>
      </c>
      <c r="BD18" s="96">
        <v>0.3</v>
      </c>
      <c r="BE18" s="96">
        <v>0.3</v>
      </c>
      <c r="BF18" s="96">
        <v>0.3</v>
      </c>
      <c r="BG18" s="96">
        <v>0.3</v>
      </c>
      <c r="BH18" s="96">
        <v>50</v>
      </c>
      <c r="BI18" s="96">
        <v>55</v>
      </c>
      <c r="BJ18" s="96">
        <v>14</v>
      </c>
      <c r="BK18" s="62"/>
      <c r="BL18" s="25" t="str">
        <f>BC14</f>
        <v>De 0 à 5 ans</v>
      </c>
      <c r="BM18" s="25" t="str">
        <f>BD14</f>
        <v>De 5 à 10 ans </v>
      </c>
      <c r="BN18" s="25" t="str">
        <f>BE14</f>
        <v>De 10 à 15 ans</v>
      </c>
      <c r="BO18" s="25" t="str">
        <f>BF14</f>
        <v>De 15 à 20 ans</v>
      </c>
      <c r="BP18" s="25" t="str">
        <f>BG14</f>
        <v>&gt; à 20 ans</v>
      </c>
      <c r="BQ18" s="25"/>
      <c r="BR18" s="25" t="s">
        <v>42</v>
      </c>
      <c r="BS18" s="25" t="s">
        <v>43</v>
      </c>
    </row>
    <row r="19" spans="2:71" ht="12.75" customHeight="1">
      <c r="B19" s="19" t="str">
        <f>IF(B12&gt;BC13,BC14,IF(B12&gt;BC12,CONCATENATE("Supérieure à ",BC12," an"),""))</f>
        <v>De 0 à 5 ans</v>
      </c>
      <c r="C19" s="60" t="str">
        <f>IF(B12&gt;BC12,"Oui","")</f>
        <v>Oui</v>
      </c>
      <c r="D19" s="19" t="str">
        <f>IF(BO14=BB12,BO14,IF(BO14="",CONCATENATE(BL20*10," dixièmes de mois par année dans l'entreprise"),""))</f>
        <v>3 dixièmes de mois par année dans l'entreprise</v>
      </c>
      <c r="F19" s="63">
        <f>IF(D19=BB12,BP14,IF(D18=BB13,BL19,""))</f>
        <v>1.5</v>
      </c>
      <c r="L19" s="140"/>
      <c r="M19" s="140"/>
      <c r="N19" s="140"/>
      <c r="BB19" s="49" t="s">
        <v>23</v>
      </c>
      <c r="BC19" s="97">
        <v>0.3</v>
      </c>
      <c r="BD19" s="97">
        <v>0.3</v>
      </c>
      <c r="BE19" s="97">
        <v>0.3</v>
      </c>
      <c r="BF19" s="97">
        <v>0.3</v>
      </c>
      <c r="BG19" s="97">
        <v>0.3</v>
      </c>
      <c r="BH19" s="97">
        <v>50</v>
      </c>
      <c r="BI19" s="109">
        <v>55</v>
      </c>
      <c r="BJ19" s="97">
        <v>14</v>
      </c>
      <c r="BK19" s="47"/>
      <c r="BL19" s="64">
        <f>MIN(B12,5)*LOOKUP(D11,$BB$16:$BB$20,$BC$16:$BC$20)</f>
        <v>1.5</v>
      </c>
      <c r="BM19" s="64">
        <f>MIN(B12-5,5)*LOOKUP($D$11,$BB$16:$BB$20,$BD$16:$BD$20)</f>
        <v>1.5</v>
      </c>
      <c r="BN19" s="64">
        <f>MIN(B12-10,5)*LOOKUP($D$11,$BB$16:$BB$20,$BE$16:$BE$20)</f>
        <v>2</v>
      </c>
      <c r="BO19" s="64">
        <f>MIN(B12-15,5)*LOOKUP($D$11,$BB$16:$BB$20,$BF$16:$BF$20)</f>
        <v>2</v>
      </c>
      <c r="BP19" s="64">
        <f>(B12-20)*LOOKUP($D$11,$BB$16:$BB$20,$BG$16:$BG$20)</f>
        <v>6.4925799086758005</v>
      </c>
      <c r="BQ19" s="64"/>
      <c r="BR19" s="64">
        <f>LOOKUP(D11,BB16:BB20,BH16:BH20)</f>
        <v>50</v>
      </c>
      <c r="BS19" s="64">
        <f>LOOKUP(D11,BB16:BB20,BJ16:BJ20)</f>
        <v>18</v>
      </c>
    </row>
    <row r="20" spans="2:70" ht="12.75" customHeight="1">
      <c r="B20" s="19" t="str">
        <f>IF(B12&gt;5,BD14,"")</f>
        <v>De 5 à 10 ans </v>
      </c>
      <c r="C20" s="60" t="str">
        <f>IF(B12&gt;5,"Oui","")</f>
        <v>Oui</v>
      </c>
      <c r="D20" s="19" t="str">
        <f>IF(C20="oui",CONCATENATE(BM20*10," dixièmes de mois par année dans l'entreprise"),"")</f>
        <v>3 dixièmes de mois par année dans l'entreprise</v>
      </c>
      <c r="F20" s="63">
        <f>IF(C20="oui",BM19,"")</f>
        <v>1.5</v>
      </c>
      <c r="L20" s="140"/>
      <c r="M20" s="140"/>
      <c r="N20" s="140"/>
      <c r="BB20" s="49" t="s">
        <v>66</v>
      </c>
      <c r="BC20" s="96">
        <v>0.3</v>
      </c>
      <c r="BD20" s="96">
        <v>0.3</v>
      </c>
      <c r="BE20" s="96">
        <v>0.4</v>
      </c>
      <c r="BF20" s="96">
        <v>0.4</v>
      </c>
      <c r="BG20" s="96">
        <v>0.5</v>
      </c>
      <c r="BH20" s="96">
        <v>50</v>
      </c>
      <c r="BI20" s="96">
        <v>55</v>
      </c>
      <c r="BJ20" s="96">
        <v>18</v>
      </c>
      <c r="BK20" s="47"/>
      <c r="BL20" s="25">
        <f>LOOKUP(D11,$BB$16:$BB$20,$BC$16:$BC$20)</f>
        <v>0.3</v>
      </c>
      <c r="BM20" s="25">
        <f>LOOKUP($D$11,$BB$16:$BB$20,$BD$16:$BD$20)</f>
        <v>0.3</v>
      </c>
      <c r="BN20" s="25">
        <f>LOOKUP($D$11,$BB$16:$BB$20,$BE$16:$BE$20)</f>
        <v>0.4</v>
      </c>
      <c r="BO20" s="69">
        <f>LOOKUP($D$11,$BB$16:$BB$20,$BF$16:$BF$20)</f>
        <v>0.4</v>
      </c>
      <c r="BP20" s="25">
        <f>LOOKUP($D$11,$BB$16:$BB$20,$BG$16:$BG$20)</f>
        <v>0.5</v>
      </c>
      <c r="BQ20" s="25"/>
      <c r="BR20" s="64">
        <f>LOOKUP(D11,BB16:BB20,BI16:BI20)</f>
        <v>55</v>
      </c>
    </row>
    <row r="21" spans="2:70" ht="12.75" customHeight="1">
      <c r="B21" s="19" t="str">
        <f>IF(B12&gt;10,BE14,"")</f>
        <v>De 10 à 15 ans</v>
      </c>
      <c r="C21" s="60" t="str">
        <f>IF(B12&gt;10,"Oui","")</f>
        <v>Oui</v>
      </c>
      <c r="D21" s="19" t="str">
        <f>IF(C21="oui",CONCATENATE(BN20*10," dixièmes de mois par année dans l'entreprise"),"")</f>
        <v>4 dixièmes de mois par année dans l'entreprise</v>
      </c>
      <c r="F21" s="63">
        <f>IF(C21="oui",BN19,"")</f>
        <v>2</v>
      </c>
      <c r="L21" s="140"/>
      <c r="M21" s="140"/>
      <c r="N21" s="140"/>
      <c r="BB21" s="70"/>
      <c r="BC21" s="40"/>
      <c r="BD21" s="40"/>
      <c r="BE21" s="40"/>
      <c r="BF21" s="40"/>
      <c r="BG21" s="40"/>
      <c r="BH21" s="40"/>
      <c r="BI21" s="40"/>
      <c r="BJ21" s="40"/>
      <c r="BK21" s="40"/>
      <c r="BL21" s="41"/>
      <c r="BM21" s="41"/>
      <c r="BN21" s="41"/>
      <c r="BO21" s="41"/>
      <c r="BP21" s="71" t="s">
        <v>14</v>
      </c>
      <c r="BQ21" s="71"/>
      <c r="BR21" s="72">
        <f>IF(BM6&gt;BR20,BI15,IF(BM6&gt;BR19,BH15,0))</f>
        <v>2</v>
      </c>
    </row>
    <row r="22" spans="2:69" ht="12.75" customHeight="1">
      <c r="B22" s="19" t="str">
        <f>IF(B12&gt;15,BF14,"")</f>
        <v>De 15 à 20 ans</v>
      </c>
      <c r="C22" s="60" t="str">
        <f>IF(B12&gt;15,"Oui","")</f>
        <v>Oui</v>
      </c>
      <c r="D22" s="19" t="str">
        <f>IF(C22="oui",CONCATENATE(BO20*10," dixièmes de mois par année dans l'entreprise",""),"")</f>
        <v>4 dixièmes de mois par année dans l'entreprise</v>
      </c>
      <c r="F22" s="63">
        <f>IF(C22="OUI",BO19,"")</f>
        <v>2</v>
      </c>
      <c r="L22" s="140"/>
      <c r="M22" s="140"/>
      <c r="N22" s="140"/>
      <c r="BB22" s="70"/>
      <c r="BC22" s="40"/>
      <c r="BD22" s="40"/>
      <c r="BE22" s="40"/>
      <c r="BF22" s="40"/>
      <c r="BG22" s="40"/>
      <c r="BH22" s="40"/>
      <c r="BI22" s="40"/>
      <c r="BJ22" s="40"/>
      <c r="BK22" s="40"/>
      <c r="BL22" s="41"/>
      <c r="BM22" s="41"/>
      <c r="BN22" s="41"/>
      <c r="BO22" s="41"/>
      <c r="BP22" s="41"/>
      <c r="BQ22" s="41"/>
    </row>
    <row r="23" spans="2:69" ht="12.75">
      <c r="B23" s="19" t="str">
        <f>IF(B12&gt;20,BG14,"")</f>
        <v>&gt; à 20 ans</v>
      </c>
      <c r="C23" s="60" t="str">
        <f>IF(B12&gt;15,"Oui","")</f>
        <v>Oui</v>
      </c>
      <c r="D23" s="19" t="str">
        <f>IF(C23="oui",CONCATENATE(BP20*10," dixièmes de mois par année dans l'entreprise"),"")</f>
        <v>5 dixièmes de mois par année dans l'entreprise</v>
      </c>
      <c r="F23" s="63">
        <f>IF(C23="OUI",BP19,"")</f>
        <v>6.4925799086758005</v>
      </c>
      <c r="BB23" s="70"/>
      <c r="BC23" s="40"/>
      <c r="BD23" s="40"/>
      <c r="BE23" s="40"/>
      <c r="BF23" s="40"/>
      <c r="BG23" s="40"/>
      <c r="BH23" s="40"/>
      <c r="BI23" s="40"/>
      <c r="BJ23" s="40"/>
      <c r="BK23" s="40"/>
      <c r="BL23" s="41"/>
      <c r="BM23" s="41"/>
      <c r="BN23" s="41"/>
      <c r="BO23" s="41"/>
      <c r="BP23" s="41"/>
      <c r="BQ23" s="41"/>
    </row>
    <row r="24" spans="2:69" ht="12.75">
      <c r="B24" s="19"/>
      <c r="C24" s="60"/>
      <c r="D24" s="19"/>
      <c r="F24" s="63"/>
      <c r="L24" s="139" t="s">
        <v>78</v>
      </c>
      <c r="BB24" s="70"/>
      <c r="BC24" s="40"/>
      <c r="BD24" s="40"/>
      <c r="BE24" s="40"/>
      <c r="BF24" s="40"/>
      <c r="BG24" s="40"/>
      <c r="BH24" s="40"/>
      <c r="BI24" s="40"/>
      <c r="BJ24" s="40"/>
      <c r="BK24" s="40"/>
      <c r="BL24" s="41"/>
      <c r="BM24" s="41"/>
      <c r="BN24" s="41"/>
      <c r="BO24" s="41"/>
      <c r="BP24" s="41"/>
      <c r="BQ24" s="41"/>
    </row>
    <row r="25" spans="6:69" ht="12.75">
      <c r="F25" s="76">
        <f>SUM(F19:F23)</f>
        <v>13.4925799086758</v>
      </c>
      <c r="L25" s="139"/>
      <c r="BB25" s="40"/>
      <c r="BC25" s="40"/>
      <c r="BD25" s="40"/>
      <c r="BE25" s="40"/>
      <c r="BF25" s="40"/>
      <c r="BG25" s="40"/>
      <c r="BH25" s="40"/>
      <c r="BI25" s="40"/>
      <c r="BJ25" s="40"/>
      <c r="BK25" s="40"/>
      <c r="BL25" s="41"/>
      <c r="BM25" s="41"/>
      <c r="BN25" s="41"/>
      <c r="BO25" s="41"/>
      <c r="BP25" s="41"/>
      <c r="BQ25" s="41"/>
    </row>
    <row r="26" spans="2:67" ht="12.75">
      <c r="B26" s="78" t="s">
        <v>44</v>
      </c>
      <c r="C26" s="78" t="s">
        <v>45</v>
      </c>
      <c r="L26" s="139"/>
      <c r="BB26" s="6"/>
      <c r="BC26" s="6"/>
      <c r="BD26" s="6"/>
      <c r="BE26" s="6"/>
      <c r="BF26" s="6"/>
      <c r="BG26" s="6"/>
      <c r="BH26" s="6"/>
      <c r="BI26" s="6"/>
      <c r="BJ26" s="6"/>
      <c r="BK26" s="6"/>
      <c r="BL26" s="8"/>
      <c r="BM26" s="8"/>
      <c r="BN26" s="8"/>
      <c r="BO26" s="8"/>
    </row>
    <row r="27" spans="2:67" ht="12.75">
      <c r="B27" s="19" t="str">
        <f>CONCATENATE("M-1          ",BT3)</f>
        <v>M-1          novembre</v>
      </c>
      <c r="C27" s="2">
        <v>1000</v>
      </c>
      <c r="L27" s="139"/>
      <c r="BB27" s="6"/>
      <c r="BC27" s="6"/>
      <c r="BD27" s="6"/>
      <c r="BE27" s="6"/>
      <c r="BF27" s="6"/>
      <c r="BG27" s="6"/>
      <c r="BH27" s="6"/>
      <c r="BI27" s="6"/>
      <c r="BJ27" s="6"/>
      <c r="BK27" s="6"/>
      <c r="BL27" s="8"/>
      <c r="BM27" s="8"/>
      <c r="BN27" s="8"/>
      <c r="BO27" s="8"/>
    </row>
    <row r="28" spans="2:67" ht="12.75">
      <c r="B28" s="19" t="str">
        <f>CONCATENATE("M-2          ",BT4)</f>
        <v>M-2          octobre</v>
      </c>
      <c r="C28" s="2">
        <v>1000</v>
      </c>
      <c r="BB28" s="6"/>
      <c r="BC28" s="6"/>
      <c r="BD28" s="6"/>
      <c r="BE28" s="6"/>
      <c r="BF28" s="6"/>
      <c r="BG28" s="6"/>
      <c r="BH28" s="6"/>
      <c r="BI28" s="6"/>
      <c r="BJ28" s="6"/>
      <c r="BK28" s="6"/>
      <c r="BL28" s="8"/>
      <c r="BM28" s="8"/>
      <c r="BN28" s="8"/>
      <c r="BO28" s="8"/>
    </row>
    <row r="29" spans="2:67" ht="12.75">
      <c r="B29" s="19" t="str">
        <f>CONCATENATE("M-3          ",BT5)</f>
        <v>M-3          septembre</v>
      </c>
      <c r="C29" s="2">
        <v>1000</v>
      </c>
      <c r="BB29" s="6"/>
      <c r="BC29" s="6"/>
      <c r="BD29" s="6"/>
      <c r="BE29" s="6"/>
      <c r="BF29" s="6"/>
      <c r="BG29" s="6"/>
      <c r="BH29" s="6"/>
      <c r="BI29" s="6"/>
      <c r="BJ29" s="6"/>
      <c r="BK29" s="6"/>
      <c r="BL29" s="8"/>
      <c r="BM29" s="8"/>
      <c r="BN29" s="8"/>
      <c r="BO29" s="8"/>
    </row>
    <row r="30" spans="2:67" ht="12.75">
      <c r="B30" s="19" t="str">
        <f>CONCATENATE("M-4          ",BT6)</f>
        <v>M-4          août</v>
      </c>
      <c r="C30" s="2">
        <v>1000</v>
      </c>
      <c r="BB30" s="6"/>
      <c r="BC30" s="6"/>
      <c r="BD30" s="6"/>
      <c r="BE30" s="6"/>
      <c r="BF30" s="6"/>
      <c r="BG30" s="6"/>
      <c r="BH30" s="6"/>
      <c r="BI30" s="6"/>
      <c r="BJ30" s="6"/>
      <c r="BK30" s="6"/>
      <c r="BL30" s="8"/>
      <c r="BM30" s="8"/>
      <c r="BN30" s="8"/>
      <c r="BO30" s="8"/>
    </row>
    <row r="31" spans="2:71" ht="12.75">
      <c r="B31" s="19" t="str">
        <f>CONCATENATE("M-5          ",BT7)</f>
        <v>M-5          juillet</v>
      </c>
      <c r="C31" s="2">
        <v>1000</v>
      </c>
      <c r="BL31" s="16"/>
      <c r="BM31" s="16"/>
      <c r="BN31" s="16"/>
      <c r="BO31" s="16"/>
      <c r="BP31" s="16"/>
      <c r="BQ31" s="16"/>
      <c r="BR31" s="16"/>
      <c r="BS31" s="16"/>
    </row>
    <row r="32" spans="2:71" ht="12.75">
      <c r="B32" s="19" t="str">
        <f>CONCATENATE("M-6          ",BT8)</f>
        <v>M-6          juin</v>
      </c>
      <c r="C32" s="2">
        <v>1000</v>
      </c>
      <c r="BL32" s="16"/>
      <c r="BM32" s="16"/>
      <c r="BN32" s="16"/>
      <c r="BO32" s="16"/>
      <c r="BP32" s="16"/>
      <c r="BQ32" s="16"/>
      <c r="BR32" s="16"/>
      <c r="BS32" s="16"/>
    </row>
    <row r="33" spans="2:71" ht="12.75">
      <c r="B33" s="19" t="str">
        <f>CONCATENATE("M-7          ",BT9)</f>
        <v>M-7          mai</v>
      </c>
      <c r="C33" s="2">
        <v>1000</v>
      </c>
      <c r="BL33" s="16"/>
      <c r="BM33" s="16"/>
      <c r="BN33" s="16"/>
      <c r="BO33" s="16"/>
      <c r="BP33" s="16"/>
      <c r="BQ33" s="16"/>
      <c r="BR33" s="16"/>
      <c r="BS33" s="16"/>
    </row>
    <row r="34" spans="2:71" ht="12.75">
      <c r="B34" s="19" t="str">
        <f>CONCATENATE("M-8          ",BT10)</f>
        <v>M-8          avril</v>
      </c>
      <c r="C34" s="2">
        <v>1000</v>
      </c>
      <c r="BL34" s="16"/>
      <c r="BM34" s="16"/>
      <c r="BN34" s="16"/>
      <c r="BO34" s="16"/>
      <c r="BP34" s="16"/>
      <c r="BQ34" s="16"/>
      <c r="BR34" s="16"/>
      <c r="BS34" s="16"/>
    </row>
    <row r="35" spans="2:71" ht="12.75">
      <c r="B35" s="19" t="str">
        <f>CONCATENATE("M-9          ",BT11)</f>
        <v>M-9          mars</v>
      </c>
      <c r="C35" s="2">
        <v>1000</v>
      </c>
      <c r="BL35" s="16"/>
      <c r="BM35" s="16"/>
      <c r="BN35" s="16"/>
      <c r="BO35" s="16"/>
      <c r="BP35" s="16"/>
      <c r="BQ35" s="16"/>
      <c r="BR35" s="16"/>
      <c r="BS35" s="16"/>
    </row>
    <row r="36" spans="2:71" ht="12.75">
      <c r="B36" s="19" t="str">
        <f>CONCATENATE("M-10         ",BT12)</f>
        <v>M-10         février</v>
      </c>
      <c r="C36" s="2">
        <v>1000</v>
      </c>
      <c r="BL36" s="16"/>
      <c r="BM36" s="16"/>
      <c r="BN36" s="16"/>
      <c r="BO36" s="16"/>
      <c r="BP36" s="16"/>
      <c r="BQ36" s="16"/>
      <c r="BR36" s="16"/>
      <c r="BS36" s="16"/>
    </row>
    <row r="37" spans="2:71" ht="12.75">
      <c r="B37" s="19" t="str">
        <f>CONCATENATE("M-11         ",BT13)</f>
        <v>M-11         janvier</v>
      </c>
      <c r="C37" s="2">
        <v>1000</v>
      </c>
      <c r="BL37" s="16"/>
      <c r="BM37" s="16"/>
      <c r="BN37" s="16"/>
      <c r="BO37" s="16"/>
      <c r="BP37" s="16"/>
      <c r="BQ37" s="16"/>
      <c r="BR37" s="16"/>
      <c r="BS37" s="16"/>
    </row>
    <row r="38" spans="2:71" ht="12.75">
      <c r="B38" s="19" t="str">
        <f>CONCATENATE("M-12         ",BT14)</f>
        <v>M-12         décembre</v>
      </c>
      <c r="C38" s="2">
        <v>1000</v>
      </c>
      <c r="BL38" s="16"/>
      <c r="BM38" s="16"/>
      <c r="BN38" s="16"/>
      <c r="BO38" s="16"/>
      <c r="BP38" s="16"/>
      <c r="BQ38" s="16"/>
      <c r="BR38" s="16"/>
      <c r="BS38" s="16"/>
    </row>
    <row r="39" spans="3:71" ht="12.75">
      <c r="C39" s="80">
        <f>SUM(C27:C38)/COUNTA(C27:C38)</f>
        <v>1000</v>
      </c>
      <c r="BL39" s="16"/>
      <c r="BM39" s="16"/>
      <c r="BN39" s="16"/>
      <c r="BO39" s="16"/>
      <c r="BP39" s="16"/>
      <c r="BQ39" s="16"/>
      <c r="BR39" s="16"/>
      <c r="BS39" s="16"/>
    </row>
    <row r="40" spans="64:71" ht="12.75">
      <c r="BL40" s="16"/>
      <c r="BM40" s="16"/>
      <c r="BN40" s="16"/>
      <c r="BO40" s="16"/>
      <c r="BP40" s="16"/>
      <c r="BQ40" s="16"/>
      <c r="BR40" s="16"/>
      <c r="BS40" s="16"/>
    </row>
    <row r="41" spans="2:71" ht="12.75">
      <c r="B41" s="78" t="s">
        <v>46</v>
      </c>
      <c r="C41" s="78" t="s">
        <v>47</v>
      </c>
      <c r="BL41" s="16"/>
      <c r="BM41" s="16"/>
      <c r="BN41" s="16"/>
      <c r="BO41" s="16"/>
      <c r="BP41" s="16"/>
      <c r="BQ41" s="16"/>
      <c r="BR41" s="16"/>
      <c r="BS41" s="16"/>
    </row>
    <row r="42" spans="2:71" ht="12.75">
      <c r="B42" s="19" t="str">
        <f aca="true" t="shared" si="0" ref="B42:C44">B27</f>
        <v>M-1          novembre</v>
      </c>
      <c r="C42" s="81">
        <f t="shared" si="0"/>
        <v>1000</v>
      </c>
      <c r="BL42" s="16"/>
      <c r="BM42" s="16"/>
      <c r="BN42" s="16"/>
      <c r="BO42" s="16"/>
      <c r="BP42" s="16"/>
      <c r="BQ42" s="16"/>
      <c r="BR42" s="16"/>
      <c r="BS42" s="16"/>
    </row>
    <row r="43" spans="2:71" ht="12.75">
      <c r="B43" s="19" t="str">
        <f t="shared" si="0"/>
        <v>M-2          octobre</v>
      </c>
      <c r="C43" s="81">
        <f t="shared" si="0"/>
        <v>1000</v>
      </c>
      <c r="BL43" s="16"/>
      <c r="BM43" s="16"/>
      <c r="BN43" s="16"/>
      <c r="BO43" s="16"/>
      <c r="BP43" s="16"/>
      <c r="BQ43" s="16"/>
      <c r="BR43" s="16"/>
      <c r="BS43" s="16"/>
    </row>
    <row r="44" spans="2:71" ht="12.75">
      <c r="B44" s="19" t="str">
        <f t="shared" si="0"/>
        <v>M-3          septembre</v>
      </c>
      <c r="C44" s="81">
        <f t="shared" si="0"/>
        <v>1000</v>
      </c>
      <c r="BL44" s="16"/>
      <c r="BM44" s="16"/>
      <c r="BN44" s="16"/>
      <c r="BO44" s="16"/>
      <c r="BP44" s="16"/>
      <c r="BQ44" s="16"/>
      <c r="BR44" s="16"/>
      <c r="BS44" s="16"/>
    </row>
    <row r="45" spans="3:71" ht="12.75">
      <c r="C45" s="80">
        <f>SUM(C42:C44)/COUNTA(C42:C44)</f>
        <v>1000</v>
      </c>
      <c r="BL45" s="16"/>
      <c r="BM45" s="16"/>
      <c r="BN45" s="16"/>
      <c r="BO45" s="16"/>
      <c r="BP45" s="16"/>
      <c r="BQ45" s="16"/>
      <c r="BR45" s="16"/>
      <c r="BS45" s="16"/>
    </row>
    <row r="46" spans="64:71" ht="12.75">
      <c r="BL46" s="16"/>
      <c r="BM46" s="16"/>
      <c r="BN46" s="16"/>
      <c r="BO46" s="16"/>
      <c r="BP46" s="16"/>
      <c r="BQ46" s="16"/>
      <c r="BR46" s="16"/>
      <c r="BS46" s="16"/>
    </row>
    <row r="47" spans="2:71" ht="12.75">
      <c r="B47" s="123" t="s">
        <v>48</v>
      </c>
      <c r="C47" s="123"/>
      <c r="BL47" s="16"/>
      <c r="BM47" s="16"/>
      <c r="BN47" s="16"/>
      <c r="BO47" s="16"/>
      <c r="BP47" s="16"/>
      <c r="BQ47" s="16"/>
      <c r="BR47" s="16"/>
      <c r="BS47" s="16"/>
    </row>
    <row r="48" spans="2:71" ht="15">
      <c r="B48" s="125">
        <f>MAX(C39,C45)</f>
        <v>1000</v>
      </c>
      <c r="C48" s="125"/>
      <c r="D48" s="82" t="str">
        <f>IF(B48=C45,"&lt;=Moyenne des 3 derniers mois",IF(B48=C39,"&lt;=Moyenne sur un an",""))</f>
        <v>&lt;=Moyenne des 3 derniers mois</v>
      </c>
      <c r="BL48" s="83"/>
      <c r="BM48" s="83"/>
      <c r="BN48" s="16"/>
      <c r="BO48" s="16"/>
      <c r="BP48" s="16"/>
      <c r="BQ48" s="16"/>
      <c r="BR48" s="16"/>
      <c r="BS48" s="16"/>
    </row>
    <row r="49" spans="64:71" ht="12.75">
      <c r="BL49" s="16"/>
      <c r="BM49" s="16"/>
      <c r="BN49" s="16"/>
      <c r="BO49" s="16"/>
      <c r="BP49" s="16"/>
      <c r="BQ49" s="16"/>
      <c r="BR49" s="16"/>
      <c r="BS49" s="16"/>
    </row>
    <row r="50" spans="2:71" ht="12.75">
      <c r="B50" s="123" t="s">
        <v>49</v>
      </c>
      <c r="C50" s="123"/>
      <c r="BL50" s="16"/>
      <c r="BM50" s="16"/>
      <c r="BN50" s="16"/>
      <c r="BO50" s="16"/>
      <c r="BP50" s="16"/>
      <c r="BQ50" s="16"/>
      <c r="BR50" s="16"/>
      <c r="BS50" s="16"/>
    </row>
    <row r="51" spans="2:71" ht="12.75">
      <c r="B51" s="19" t="str">
        <f>CONCATENATE("Majoration si &gt;",IF(BM6&gt;BR20,BR20,IF(BM6&gt;BR19,BR19,""))," ans")</f>
        <v>Majoration si &gt;55 ans</v>
      </c>
      <c r="C51" s="60">
        <f>BR21</f>
        <v>2</v>
      </c>
      <c r="D51" s="84"/>
      <c r="BL51" s="16"/>
      <c r="BM51" s="16"/>
      <c r="BN51" s="16"/>
      <c r="BO51" s="16"/>
      <c r="BP51" s="16"/>
      <c r="BQ51" s="16"/>
      <c r="BR51" s="16"/>
      <c r="BS51" s="16"/>
    </row>
    <row r="52" spans="2:71" ht="12.75">
      <c r="B52" s="85"/>
      <c r="C52" s="84"/>
      <c r="D52" s="84"/>
      <c r="BL52" s="16"/>
      <c r="BM52" s="16"/>
      <c r="BN52" s="16"/>
      <c r="BO52" s="16"/>
      <c r="BP52" s="16"/>
      <c r="BQ52" s="16"/>
      <c r="BR52" s="16"/>
      <c r="BS52" s="16"/>
    </row>
    <row r="53" spans="2:71" ht="12.75" customHeight="1">
      <c r="B53" s="93" t="s">
        <v>50</v>
      </c>
      <c r="C53" s="110">
        <f>BS19</f>
        <v>18</v>
      </c>
      <c r="BL53" s="16"/>
      <c r="BM53" s="16"/>
      <c r="BN53" s="16"/>
      <c r="BO53" s="16"/>
      <c r="BP53" s="16"/>
      <c r="BQ53" s="16"/>
      <c r="BR53" s="16"/>
      <c r="BS53" s="16"/>
    </row>
    <row r="54" spans="2:71" ht="12.75">
      <c r="B54" s="94" t="s">
        <v>58</v>
      </c>
      <c r="C54" s="86">
        <f>MIN(BS19,F25+C51)</f>
        <v>15.4925799086758</v>
      </c>
      <c r="F54" s="111"/>
      <c r="BL54" s="16"/>
      <c r="BM54" s="16"/>
      <c r="BN54" s="16"/>
      <c r="BO54" s="16"/>
      <c r="BP54" s="16"/>
      <c r="BQ54" s="16"/>
      <c r="BR54" s="16"/>
      <c r="BS54" s="16"/>
    </row>
    <row r="55" spans="64:71" ht="12.75">
      <c r="BL55" s="16"/>
      <c r="BM55" s="16"/>
      <c r="BN55" s="16"/>
      <c r="BO55" s="16"/>
      <c r="BP55" s="16"/>
      <c r="BQ55" s="16"/>
      <c r="BR55" s="16"/>
      <c r="BS55" s="16"/>
    </row>
    <row r="56" spans="64:71" ht="12.75">
      <c r="BL56" s="16"/>
      <c r="BM56" s="16"/>
      <c r="BN56" s="16"/>
      <c r="BO56" s="16"/>
      <c r="BP56" s="16"/>
      <c r="BQ56" s="16"/>
      <c r="BR56" s="16"/>
      <c r="BS56" s="16"/>
    </row>
    <row r="57" spans="2:71" ht="12.75" customHeight="1">
      <c r="B57" s="123" t="s">
        <v>51</v>
      </c>
      <c r="C57" s="123"/>
      <c r="BL57" s="16"/>
      <c r="BM57" s="16"/>
      <c r="BN57" s="16"/>
      <c r="BO57" s="16"/>
      <c r="BP57" s="16"/>
      <c r="BQ57" s="16"/>
      <c r="BR57" s="16"/>
      <c r="BS57" s="16"/>
    </row>
    <row r="58" spans="2:71" ht="15.75">
      <c r="B58" s="137">
        <f>C54*B48</f>
        <v>15492.5799086758</v>
      </c>
      <c r="C58" s="137"/>
      <c r="D58" s="87"/>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L58" s="16"/>
      <c r="BM58" s="16"/>
      <c r="BN58" s="16"/>
      <c r="BO58" s="16"/>
      <c r="BP58" s="16"/>
      <c r="BQ58" s="16"/>
      <c r="BR58" s="16"/>
      <c r="BS58" s="16"/>
    </row>
    <row r="59" spans="64:71" ht="7.5" customHeight="1">
      <c r="BL59" s="16"/>
      <c r="BM59" s="16"/>
      <c r="BN59" s="16"/>
      <c r="BO59" s="16"/>
      <c r="BP59" s="16"/>
      <c r="BQ59" s="16"/>
      <c r="BR59" s="16"/>
      <c r="BS59" s="16"/>
    </row>
    <row r="60" spans="2:71" ht="12.75">
      <c r="B60" s="145" t="s">
        <v>74</v>
      </c>
      <c r="C60" s="146"/>
      <c r="D60" s="146"/>
      <c r="E60" s="146"/>
      <c r="F60" s="146"/>
      <c r="G60" s="146"/>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L60" s="16"/>
      <c r="BM60" s="16"/>
      <c r="BN60" s="16"/>
      <c r="BO60" s="16"/>
      <c r="BP60" s="16"/>
      <c r="BQ60" s="16"/>
      <c r="BR60" s="16"/>
      <c r="BS60" s="16"/>
    </row>
    <row r="61" spans="2:71" ht="12.75">
      <c r="B61" s="146"/>
      <c r="C61" s="146"/>
      <c r="D61" s="146"/>
      <c r="E61" s="146"/>
      <c r="F61" s="146"/>
      <c r="G61" s="146"/>
      <c r="BL61" s="16"/>
      <c r="BM61" s="16"/>
      <c r="BN61" s="16"/>
      <c r="BO61" s="16"/>
      <c r="BP61" s="16"/>
      <c r="BQ61" s="16"/>
      <c r="BR61" s="16"/>
      <c r="BS61" s="16"/>
    </row>
    <row r="62" spans="64:71" ht="12.75">
      <c r="BL62" s="16"/>
      <c r="BM62" s="16"/>
      <c r="BN62" s="16"/>
      <c r="BO62" s="16"/>
      <c r="BP62" s="16"/>
      <c r="BQ62" s="16"/>
      <c r="BR62" s="16"/>
      <c r="BS62" s="16"/>
    </row>
    <row r="63" spans="64:71" ht="12.75">
      <c r="BL63" s="16"/>
      <c r="BM63" s="16"/>
      <c r="BN63" s="16"/>
      <c r="BO63" s="16"/>
      <c r="BP63" s="16"/>
      <c r="BQ63" s="16"/>
      <c r="BR63" s="16"/>
      <c r="BS63" s="16"/>
    </row>
    <row r="64" spans="64:71" ht="12.75">
      <c r="BL64" s="16"/>
      <c r="BM64" s="16"/>
      <c r="BN64" s="16"/>
      <c r="BO64" s="16"/>
      <c r="BP64" s="16"/>
      <c r="BQ64" s="16"/>
      <c r="BR64" s="16"/>
      <c r="BS64" s="16"/>
    </row>
    <row r="65" spans="64:71" ht="12.75">
      <c r="BL65" s="16"/>
      <c r="BM65" s="16"/>
      <c r="BN65" s="16"/>
      <c r="BO65" s="16"/>
      <c r="BP65" s="16"/>
      <c r="BQ65" s="16"/>
      <c r="BR65" s="16"/>
      <c r="BS65" s="16"/>
    </row>
    <row r="66" spans="64:71" ht="12.75">
      <c r="BL66" s="16"/>
      <c r="BM66" s="16"/>
      <c r="BN66" s="16"/>
      <c r="BO66" s="16"/>
      <c r="BP66" s="16"/>
      <c r="BQ66" s="16"/>
      <c r="BR66" s="16"/>
      <c r="BS66" s="16"/>
    </row>
    <row r="67" spans="64:71" ht="12.75">
      <c r="BL67" s="16"/>
      <c r="BM67" s="16"/>
      <c r="BN67" s="16"/>
      <c r="BO67" s="16"/>
      <c r="BP67" s="16"/>
      <c r="BQ67" s="16"/>
      <c r="BR67" s="16"/>
      <c r="BS67" s="16"/>
    </row>
    <row r="68" spans="64:71" ht="12.75">
      <c r="BL68" s="16"/>
      <c r="BM68" s="16"/>
      <c r="BN68" s="16"/>
      <c r="BO68" s="16"/>
      <c r="BP68" s="16"/>
      <c r="BQ68" s="16"/>
      <c r="BR68" s="16"/>
      <c r="BS68" s="16"/>
    </row>
    <row r="69" spans="64:71" ht="12.75">
      <c r="BL69" s="16"/>
      <c r="BM69" s="16"/>
      <c r="BN69" s="16"/>
      <c r="BO69" s="16"/>
      <c r="BP69" s="16"/>
      <c r="BQ69" s="16"/>
      <c r="BR69" s="16"/>
      <c r="BS69" s="16"/>
    </row>
    <row r="70" spans="64:71" ht="12.75">
      <c r="BL70" s="16"/>
      <c r="BM70" s="16"/>
      <c r="BN70" s="16"/>
      <c r="BO70" s="16"/>
      <c r="BP70" s="16"/>
      <c r="BQ70" s="16"/>
      <c r="BR70" s="16"/>
      <c r="BS70" s="16"/>
    </row>
    <row r="71" spans="64:71" ht="12.75">
      <c r="BL71" s="16"/>
      <c r="BM71" s="16"/>
      <c r="BN71" s="16"/>
      <c r="BO71" s="16"/>
      <c r="BP71" s="16"/>
      <c r="BQ71" s="16"/>
      <c r="BR71" s="16"/>
      <c r="BS71" s="16"/>
    </row>
  </sheetData>
  <sheetProtection password="D8BB" sheet="1" objects="1" scenarios="1" selectLockedCells="1"/>
  <mergeCells count="17">
    <mergeCell ref="B60:G61"/>
    <mergeCell ref="B2:G2"/>
    <mergeCell ref="B3:F3"/>
    <mergeCell ref="B11:C11"/>
    <mergeCell ref="F11:G11"/>
    <mergeCell ref="D6:E9"/>
    <mergeCell ref="B58:C58"/>
    <mergeCell ref="B48:C48"/>
    <mergeCell ref="B50:C50"/>
    <mergeCell ref="BP13:BQ13"/>
    <mergeCell ref="BP14:BQ14"/>
    <mergeCell ref="B17:D17"/>
    <mergeCell ref="B47:C47"/>
    <mergeCell ref="M2:N8"/>
    <mergeCell ref="L24:L27"/>
    <mergeCell ref="L9:N22"/>
    <mergeCell ref="B57:C57"/>
  </mergeCells>
  <conditionalFormatting sqref="B58:C58">
    <cfRule type="cellIs" priority="1" dxfId="0" operator="greaterThan" stopIfTrue="1">
      <formula>$B$48*20</formula>
    </cfRule>
  </conditionalFormatting>
  <conditionalFormatting sqref="D6:E9">
    <cfRule type="cellIs" priority="2" dxfId="1" operator="equal" stopIfTrue="1">
      <formula>"nom"</formula>
    </cfRule>
  </conditionalFormatting>
  <dataValidations count="1">
    <dataValidation type="list" allowBlank="1" showErrorMessage="1" sqref="B11:D12">
      <formula1>$BB$16:$BB$21</formula1>
      <formula2>0</formula2>
    </dataValidation>
  </dataValidations>
  <hyperlinks>
    <hyperlink ref="BB3" r:id="rId1" display="CHIMIE IDCC 44.doc"/>
  </hyperlinks>
  <printOptions/>
  <pageMargins left="0.2361111111111111" right="0.2361111111111111" top="0.19652777777777777" bottom="0.19652777777777777" header="0.5118055555555555" footer="0.5118055555555555"/>
  <pageSetup horizontalDpi="300" verticalDpi="300" orientation="portrait" paperSize="9" r:id="rId5"/>
  <drawing r:id="rId4"/>
  <legacyDrawing r:id="rId3"/>
  <oleObjects>
    <oleObject progId="Document" dvAspect="DVASPECT_ICON" shapeId="397053" r:id="rId2"/>
  </oleObjects>
</worksheet>
</file>

<file path=xl/worksheets/sheet2.xml><?xml version="1.0" encoding="utf-8"?>
<worksheet xmlns="http://schemas.openxmlformats.org/spreadsheetml/2006/main" xmlns:r="http://schemas.openxmlformats.org/officeDocument/2006/relationships">
  <sheetPr>
    <tabColor indexed="10"/>
  </sheetPr>
  <dimension ref="B1:BW71"/>
  <sheetViews>
    <sheetView showGridLines="0" workbookViewId="0" topLeftCell="A1">
      <selection activeCell="D11" sqref="D11"/>
    </sheetView>
  </sheetViews>
  <sheetFormatPr defaultColWidth="11.421875" defaultRowHeight="12.75"/>
  <cols>
    <col min="1" max="1" width="3.7109375" style="4" customWidth="1"/>
    <col min="2" max="2" width="19.421875" style="4" customWidth="1"/>
    <col min="3" max="3" width="10.140625" style="4" customWidth="1"/>
    <col min="4" max="4" width="43.421875" style="4" customWidth="1"/>
    <col min="5" max="5" width="3.28125" style="4" customWidth="1"/>
    <col min="6" max="6" width="10.421875" style="4" customWidth="1"/>
    <col min="7" max="7" width="8.28125" style="4" customWidth="1"/>
    <col min="8" max="11" width="1.7109375" style="4" customWidth="1"/>
    <col min="12" max="34" width="21.7109375" style="4" customWidth="1"/>
    <col min="35" max="53" width="1.7109375" style="4" customWidth="1"/>
    <col min="54" max="54" width="20.8515625" style="4" customWidth="1"/>
    <col min="55" max="55" width="9.8515625" style="4" customWidth="1"/>
    <col min="56" max="56" width="11.57421875" style="4" customWidth="1"/>
    <col min="57" max="57" width="11.8515625" style="4" customWidth="1"/>
    <col min="58" max="58" width="11.28125" style="4" customWidth="1"/>
    <col min="59" max="59" width="14.57421875" style="4" customWidth="1"/>
    <col min="60" max="60" width="15.00390625" style="4" customWidth="1"/>
    <col min="61" max="61" width="15.57421875" style="4" customWidth="1"/>
    <col min="62" max="62" width="10.421875" style="4" customWidth="1"/>
    <col min="63" max="63" width="6.421875" style="4" customWidth="1"/>
    <col min="64" max="64" width="13.7109375" style="4" customWidth="1"/>
    <col min="65" max="65" width="12.8515625" style="4" customWidth="1"/>
    <col min="66" max="66" width="13.57421875" style="4" customWidth="1"/>
    <col min="67" max="67" width="18.421875" style="4" customWidth="1"/>
    <col min="68" max="69" width="14.28125" style="8" customWidth="1"/>
    <col min="70" max="70" width="15.421875" style="8" customWidth="1"/>
    <col min="71" max="71" width="11.421875" style="8" customWidth="1"/>
    <col min="72" max="72" width="11.00390625" style="79" customWidth="1"/>
    <col min="73" max="16384" width="11.421875" style="4" customWidth="1"/>
  </cols>
  <sheetData>
    <row r="1" spans="54:72" ht="12.75" customHeight="1">
      <c r="BB1" s="5" t="s">
        <v>0</v>
      </c>
      <c r="BC1" s="6"/>
      <c r="BD1" s="6"/>
      <c r="BE1" s="6"/>
      <c r="BF1" s="6"/>
      <c r="BG1" s="6"/>
      <c r="BH1" s="6"/>
      <c r="BI1" s="6"/>
      <c r="BJ1" s="6"/>
      <c r="BK1" s="6"/>
      <c r="BL1" s="7" t="s">
        <v>1</v>
      </c>
      <c r="BM1" s="8"/>
      <c r="BN1" s="8"/>
      <c r="BO1" s="8"/>
      <c r="BT1" s="9"/>
    </row>
    <row r="2" spans="2:72" s="10" customFormat="1" ht="18">
      <c r="B2" s="127" t="s">
        <v>73</v>
      </c>
      <c r="C2" s="127"/>
      <c r="D2" s="127"/>
      <c r="E2" s="127"/>
      <c r="F2" s="127"/>
      <c r="G2" s="127"/>
      <c r="BB2" s="11"/>
      <c r="BC2" s="11"/>
      <c r="BD2" s="11"/>
      <c r="BE2" s="11"/>
      <c r="BF2" s="11"/>
      <c r="BG2" s="11"/>
      <c r="BH2" s="11"/>
      <c r="BI2" s="11"/>
      <c r="BJ2" s="11"/>
      <c r="BK2" s="11"/>
      <c r="BL2" s="12"/>
      <c r="BM2" s="12"/>
      <c r="BN2" s="12"/>
      <c r="BO2" s="12"/>
      <c r="BP2" s="12"/>
      <c r="BQ2" s="12"/>
      <c r="BR2" s="12"/>
      <c r="BS2" s="13"/>
      <c r="BT2" s="9"/>
    </row>
    <row r="3" spans="2:72" s="10" customFormat="1" ht="14.25" customHeight="1">
      <c r="B3" s="128" t="s">
        <v>55</v>
      </c>
      <c r="C3" s="128"/>
      <c r="D3" s="128"/>
      <c r="E3" s="128"/>
      <c r="F3" s="128"/>
      <c r="BB3" s="4" t="s">
        <v>52</v>
      </c>
      <c r="BC3" s="11"/>
      <c r="BD3" s="11"/>
      <c r="BE3" s="11"/>
      <c r="BF3" s="11"/>
      <c r="BG3" s="11"/>
      <c r="BH3" s="11"/>
      <c r="BI3" s="11"/>
      <c r="BJ3" s="11"/>
      <c r="BK3" s="11"/>
      <c r="BL3" s="12"/>
      <c r="BM3" s="12"/>
      <c r="BN3" s="12"/>
      <c r="BO3" s="12"/>
      <c r="BP3" s="12"/>
      <c r="BQ3" s="12"/>
      <c r="BR3" s="14">
        <v>1</v>
      </c>
      <c r="BS3" s="9" t="s">
        <v>2</v>
      </c>
      <c r="BT3" s="9" t="str">
        <f>LOOKUP(MONTH(BM5)-1+IF(MONTH(BM5)-1&gt;0,0,12),BR3:BR14,BS3:BS14)</f>
        <v>novembre</v>
      </c>
    </row>
    <row r="4" spans="54:75" ht="12.75" customHeight="1">
      <c r="BB4" s="6"/>
      <c r="BC4" s="6"/>
      <c r="BD4" s="6"/>
      <c r="BE4" s="6"/>
      <c r="BF4" s="6"/>
      <c r="BG4" s="6"/>
      <c r="BH4" s="6"/>
      <c r="BI4" s="6"/>
      <c r="BJ4" s="6"/>
      <c r="BK4" s="6"/>
      <c r="BL4" s="8"/>
      <c r="BM4" s="8"/>
      <c r="BN4" s="8"/>
      <c r="BO4" s="8"/>
      <c r="BR4" s="14">
        <v>2</v>
      </c>
      <c r="BS4" s="9" t="s">
        <v>3</v>
      </c>
      <c r="BT4" s="9" t="str">
        <f>LOOKUP(MONTH(BM5)-2+IF(MONTH(BM5)-2&gt;0,0,12),BR3:BR14,BS3:BS14)</f>
        <v>octobre</v>
      </c>
      <c r="BW4" s="15"/>
    </row>
    <row r="5" spans="6:72" ht="12.75">
      <c r="F5" s="115"/>
      <c r="G5" s="115"/>
      <c r="BA5" s="16"/>
      <c r="BB5" s="17"/>
      <c r="BC5" s="6"/>
      <c r="BD5" s="6"/>
      <c r="BE5" s="6"/>
      <c r="BF5" s="6"/>
      <c r="BG5" s="6"/>
      <c r="BH5" s="6"/>
      <c r="BI5" s="6"/>
      <c r="BJ5" s="6"/>
      <c r="BK5" s="6"/>
      <c r="BL5" s="18" t="s">
        <v>4</v>
      </c>
      <c r="BM5" s="18">
        <f ca="1">TODAY()</f>
        <v>41262</v>
      </c>
      <c r="BN5" s="8"/>
      <c r="BO5" s="8"/>
      <c r="BR5" s="14">
        <v>3</v>
      </c>
      <c r="BS5" s="9" t="s">
        <v>5</v>
      </c>
      <c r="BT5" s="9" t="str">
        <f>LOOKUP(MONTH(BM5)-3+IF(MONTH(BM5)-3&gt;0,0,12),BR3:BR14,BS3:BS14)</f>
        <v>septembre</v>
      </c>
    </row>
    <row r="6" spans="2:72" ht="12.75" customHeight="1">
      <c r="B6" s="19" t="s">
        <v>6</v>
      </c>
      <c r="C6" s="119">
        <f>'Chimie IDCC44'!C6</f>
        <v>20631</v>
      </c>
      <c r="D6" s="131" t="str">
        <f>'Chimie IDCC44'!D6:E9</f>
        <v>Nom</v>
      </c>
      <c r="E6" s="132"/>
      <c r="F6" s="115" t="s">
        <v>7</v>
      </c>
      <c r="G6" s="115"/>
      <c r="L6" s="114"/>
      <c r="M6" s="133" t="s">
        <v>76</v>
      </c>
      <c r="N6" s="134"/>
      <c r="BA6" s="16"/>
      <c r="BB6" s="17"/>
      <c r="BC6" s="6"/>
      <c r="BD6" s="6"/>
      <c r="BE6" s="6"/>
      <c r="BF6" s="6"/>
      <c r="BG6" s="6"/>
      <c r="BH6" s="6"/>
      <c r="BI6" s="6"/>
      <c r="BJ6" s="6"/>
      <c r="BK6" s="6"/>
      <c r="BL6" s="20" t="s">
        <v>8</v>
      </c>
      <c r="BM6" s="21">
        <f>(BM5-C6)/365</f>
        <v>56.52328767123288</v>
      </c>
      <c r="BN6" s="8"/>
      <c r="BO6" s="8"/>
      <c r="BR6" s="14">
        <v>4</v>
      </c>
      <c r="BS6" s="9" t="s">
        <v>9</v>
      </c>
      <c r="BT6" s="9" t="str">
        <f>LOOKUP(MONTH(BM5)-4+IF(MONTH(BM5)-4&gt;0,0,12),BR3:BR14,BS3:BS14)</f>
        <v>août</v>
      </c>
    </row>
    <row r="7" spans="3:72" ht="18">
      <c r="C7" s="16"/>
      <c r="D7" s="132"/>
      <c r="E7" s="132"/>
      <c r="F7" s="116">
        <v>100</v>
      </c>
      <c r="G7" s="115" t="s">
        <v>10</v>
      </c>
      <c r="L7" s="114"/>
      <c r="M7" s="134"/>
      <c r="N7" s="134"/>
      <c r="BA7" s="16"/>
      <c r="BB7" s="17"/>
      <c r="BC7" s="6"/>
      <c r="BD7" s="6"/>
      <c r="BE7" s="6"/>
      <c r="BF7" s="6"/>
      <c r="BG7" s="6"/>
      <c r="BH7" s="6"/>
      <c r="BI7" s="6"/>
      <c r="BJ7" s="6"/>
      <c r="BK7" s="6"/>
      <c r="BL7" s="8"/>
      <c r="BM7" s="8"/>
      <c r="BN7" s="8"/>
      <c r="BO7" s="8"/>
      <c r="BR7" s="14">
        <v>5</v>
      </c>
      <c r="BS7" s="9" t="s">
        <v>11</v>
      </c>
      <c r="BT7" s="9" t="str">
        <f>LOOKUP(MONTH(BM5)-5+IF(MONTH(BM5)-5&gt;0,0,12),BR3:BR14,BS3:BS14)</f>
        <v>juillet</v>
      </c>
    </row>
    <row r="8" spans="2:72" ht="18">
      <c r="B8" s="19" t="s">
        <v>12</v>
      </c>
      <c r="C8" s="119">
        <f>'Chimie IDCC44'!C8</f>
        <v>29164</v>
      </c>
      <c r="D8" s="132"/>
      <c r="E8" s="132"/>
      <c r="F8" s="115"/>
      <c r="G8" s="115"/>
      <c r="L8" s="114"/>
      <c r="M8" s="134"/>
      <c r="N8" s="134"/>
      <c r="BA8" s="16"/>
      <c r="BB8" s="17"/>
      <c r="BC8" s="6"/>
      <c r="BD8" s="6"/>
      <c r="BE8" s="6"/>
      <c r="BF8" s="6"/>
      <c r="BG8" s="6"/>
      <c r="BH8" s="6"/>
      <c r="BI8" s="6"/>
      <c r="BJ8" s="6"/>
      <c r="BK8" s="6"/>
      <c r="BL8" s="8"/>
      <c r="BM8" s="22" t="s">
        <v>13</v>
      </c>
      <c r="BN8" s="22" t="s">
        <v>14</v>
      </c>
      <c r="BO8" s="22" t="s">
        <v>15</v>
      </c>
      <c r="BR8" s="14">
        <v>6</v>
      </c>
      <c r="BS8" s="9" t="s">
        <v>16</v>
      </c>
      <c r="BT8" s="9" t="str">
        <f>LOOKUP(MONTH(BM5)-6+IF(MONTH(BM5)-6&gt;0,0,12),BR3:BR14,BS3:BS14)</f>
        <v>juin</v>
      </c>
    </row>
    <row r="9" spans="2:72" ht="18">
      <c r="B9" s="19" t="s">
        <v>17</v>
      </c>
      <c r="C9" s="119">
        <f>'Chimie IDCC44'!C9</f>
        <v>41212</v>
      </c>
      <c r="D9" s="132"/>
      <c r="E9" s="132"/>
      <c r="L9" s="114"/>
      <c r="M9" s="134"/>
      <c r="N9" s="134"/>
      <c r="BA9" s="16"/>
      <c r="BB9" s="17"/>
      <c r="BC9" s="6"/>
      <c r="BD9" s="6"/>
      <c r="BE9" s="6"/>
      <c r="BF9" s="6"/>
      <c r="BG9" s="6"/>
      <c r="BH9" s="6"/>
      <c r="BI9" s="6"/>
      <c r="BJ9" s="6"/>
      <c r="BK9" s="6"/>
      <c r="BL9" s="8" t="s">
        <v>18</v>
      </c>
      <c r="BM9" s="8">
        <f>DAY(C8)</f>
        <v>5</v>
      </c>
      <c r="BN9" s="8">
        <f>MONTH(C8)</f>
        <v>11</v>
      </c>
      <c r="BO9" s="8">
        <f>YEAR(C8)</f>
        <v>1979</v>
      </c>
      <c r="BR9" s="14">
        <v>7</v>
      </c>
      <c r="BS9" s="9" t="s">
        <v>19</v>
      </c>
      <c r="BT9" s="9" t="str">
        <f>LOOKUP(MONTH(BM5)-7+IF(MONTH(BM5)-7&gt;0,0,12),BR3:BR14,BS3:BS14)</f>
        <v>mai</v>
      </c>
    </row>
    <row r="10" spans="12:72" ht="18">
      <c r="L10" s="114"/>
      <c r="M10" s="134"/>
      <c r="N10" s="134"/>
      <c r="BB10" s="6"/>
      <c r="BC10" s="6"/>
      <c r="BD10" s="6"/>
      <c r="BE10" s="6"/>
      <c r="BF10" s="6"/>
      <c r="BG10" s="6"/>
      <c r="BH10" s="6"/>
      <c r="BI10" s="6"/>
      <c r="BJ10" s="6"/>
      <c r="BK10" s="6"/>
      <c r="BL10" s="8" t="s">
        <v>20</v>
      </c>
      <c r="BM10" s="8">
        <f>DAY(C9)</f>
        <v>30</v>
      </c>
      <c r="BN10" s="8">
        <f>MONTH(C9)</f>
        <v>10</v>
      </c>
      <c r="BO10" s="8">
        <f>YEAR(C9)</f>
        <v>2012</v>
      </c>
      <c r="BR10" s="14">
        <v>8</v>
      </c>
      <c r="BS10" s="9" t="s">
        <v>21</v>
      </c>
      <c r="BT10" s="9" t="str">
        <f>LOOKUP(MONTH(BM5)-8+IF(MONTH(BM5)-8&gt;0,0,12),BR3:BR14,BS3:BS14)</f>
        <v>avril</v>
      </c>
    </row>
    <row r="11" spans="2:72" ht="12.75" customHeight="1">
      <c r="B11" s="123" t="s">
        <v>22</v>
      </c>
      <c r="C11" s="123"/>
      <c r="D11" s="117" t="s">
        <v>57</v>
      </c>
      <c r="F11" s="123" t="s">
        <v>24</v>
      </c>
      <c r="G11" s="123"/>
      <c r="L11" s="114"/>
      <c r="M11" s="134"/>
      <c r="N11" s="134"/>
      <c r="BB11" s="6"/>
      <c r="BC11" s="23" t="s">
        <v>25</v>
      </c>
      <c r="BD11" s="6"/>
      <c r="BE11" s="24" t="s">
        <v>26</v>
      </c>
      <c r="BF11" s="24" t="s">
        <v>27</v>
      </c>
      <c r="BG11" s="6"/>
      <c r="BH11" s="6"/>
      <c r="BI11" s="6"/>
      <c r="BJ11" s="6"/>
      <c r="BK11" s="6"/>
      <c r="BL11" s="8"/>
      <c r="BM11" s="25">
        <f>BM10-BM9</f>
        <v>25</v>
      </c>
      <c r="BN11" s="25">
        <f>BN10-BN9</f>
        <v>-1</v>
      </c>
      <c r="BO11" s="25">
        <f>BO10-BO9</f>
        <v>33</v>
      </c>
      <c r="BR11" s="14">
        <v>9</v>
      </c>
      <c r="BS11" s="9" t="s">
        <v>28</v>
      </c>
      <c r="BT11" s="9" t="str">
        <f>LOOKUP(MONTH(BM5)-9+IF(MONTH(BM5)-9&gt;0,0,12),BR3:BR14,BS3:BS14)</f>
        <v>mars</v>
      </c>
    </row>
    <row r="12" spans="2:72" ht="18">
      <c r="B12" s="26">
        <f>MIN(B14,BR19)</f>
        <v>32.9851598173516</v>
      </c>
      <c r="C12" s="27" t="str">
        <f>IF(B12&gt;1,"années","année")</f>
        <v>années</v>
      </c>
      <c r="F12" s="28">
        <f>BO11</f>
        <v>33</v>
      </c>
      <c r="G12" s="29" t="s">
        <v>29</v>
      </c>
      <c r="L12" s="114"/>
      <c r="M12" s="134"/>
      <c r="N12" s="134"/>
      <c r="BB12" s="30" t="s">
        <v>30</v>
      </c>
      <c r="BC12" s="31">
        <v>1</v>
      </c>
      <c r="BD12" s="23" t="s">
        <v>14</v>
      </c>
      <c r="BE12" s="32">
        <v>0.2</v>
      </c>
      <c r="BF12" s="98">
        <f>2/15</f>
        <v>0.13333333333333333</v>
      </c>
      <c r="BG12" s="6"/>
      <c r="BH12" s="6"/>
      <c r="BI12" s="6"/>
      <c r="BJ12" s="6"/>
      <c r="BK12" s="6"/>
      <c r="BL12" s="8" t="s">
        <v>31</v>
      </c>
      <c r="BM12" s="8"/>
      <c r="BN12" s="8"/>
      <c r="BO12" s="8"/>
      <c r="BR12" s="14">
        <v>10</v>
      </c>
      <c r="BS12" s="9" t="s">
        <v>32</v>
      </c>
      <c r="BT12" s="9" t="str">
        <f>LOOKUP(MONTH(BM5)-10+IF(MONTH(BM5)-10&gt;0,0,12),BR3:BR14,BS3:BS14)</f>
        <v>février</v>
      </c>
    </row>
    <row r="13" spans="2:72" ht="18">
      <c r="B13" s="136" t="s">
        <v>53</v>
      </c>
      <c r="C13" s="136"/>
      <c r="F13" s="28">
        <f>BN11</f>
        <v>-1</v>
      </c>
      <c r="G13" s="29" t="s">
        <v>14</v>
      </c>
      <c r="L13" s="118"/>
      <c r="M13" s="118"/>
      <c r="N13" s="118"/>
      <c r="BB13" s="33" t="s">
        <v>33</v>
      </c>
      <c r="BC13" s="34">
        <v>2</v>
      </c>
      <c r="BD13" s="6"/>
      <c r="BE13" s="6"/>
      <c r="BF13" s="6"/>
      <c r="BG13" s="6"/>
      <c r="BH13" s="6"/>
      <c r="BI13" s="6"/>
      <c r="BJ13" s="6"/>
      <c r="BK13" s="6"/>
      <c r="BL13" s="8" t="s">
        <v>34</v>
      </c>
      <c r="BM13" s="35">
        <f>F7*BM11/36500</f>
        <v>0.0684931506849315</v>
      </c>
      <c r="BN13" s="35">
        <f>F7*BN11/1200</f>
        <v>-0.08333333333333333</v>
      </c>
      <c r="BO13" s="35">
        <f>F7*BO11/100</f>
        <v>33</v>
      </c>
      <c r="BP13" s="121" t="s">
        <v>55</v>
      </c>
      <c r="BQ13" s="121"/>
      <c r="BR13" s="14">
        <v>11</v>
      </c>
      <c r="BS13" s="9" t="s">
        <v>35</v>
      </c>
      <c r="BT13" s="9" t="str">
        <f>LOOKUP(MONTH(BM5)-11+IF(MONTH(BM5)-11&gt;0,0,12),BR3:BR14,BS3:BS14)</f>
        <v>janvier</v>
      </c>
    </row>
    <row r="14" spans="2:72" ht="12.75" customHeight="1">
      <c r="B14" s="36">
        <f>BM14</f>
        <v>32.9851598173516</v>
      </c>
      <c r="C14" s="27" t="str">
        <f>IF(B14&gt;1,"années","année")</f>
        <v>années</v>
      </c>
      <c r="F14" s="28">
        <f>BM11</f>
        <v>25</v>
      </c>
      <c r="G14" s="29" t="s">
        <v>36</v>
      </c>
      <c r="L14" s="135"/>
      <c r="M14" s="135"/>
      <c r="N14" s="135"/>
      <c r="BB14" s="37"/>
      <c r="BC14" s="38" t="str">
        <f>CONCATENATE("De 0 à ",BC15," ans")</f>
        <v>De 0 à 10 ans</v>
      </c>
      <c r="BD14" s="38" t="str">
        <f>CONCATENATE("De ",BC15+1," à ",BD15," ans")</f>
        <v>De 11 à 15 ans</v>
      </c>
      <c r="BE14" s="38"/>
      <c r="BF14" s="91"/>
      <c r="BG14" s="38"/>
      <c r="BH14" s="38"/>
      <c r="BI14" s="38" t="s">
        <v>56</v>
      </c>
      <c r="BJ14" s="39" t="s">
        <v>50</v>
      </c>
      <c r="BK14" s="40"/>
      <c r="BL14" s="41" t="s">
        <v>37</v>
      </c>
      <c r="BM14" s="42">
        <f>IF(BB14="par année complète",INT(BM13+BN13+BO13),BM13+BN13+BO13)</f>
        <v>32.9851598173516</v>
      </c>
      <c r="BN14" s="8"/>
      <c r="BO14" s="43">
        <f>IF(B12&gt;BC13,"",IF(B12&gt;BC12,BB12,"Aucun droit"))</f>
      </c>
      <c r="BP14" s="122">
        <f>IF((B12&gt;BC12),ROUND(B12*BE12+MAX(B14-10,0)*BF12,2),0)</f>
        <v>9.66</v>
      </c>
      <c r="BQ14" s="122"/>
      <c r="BR14" s="14">
        <v>12</v>
      </c>
      <c r="BS14" s="9" t="s">
        <v>38</v>
      </c>
      <c r="BT14" s="9" t="str">
        <f>LOOKUP(MONTH(BM5)-12+IF(MONTH(BM5)-12&gt;0,0,12),BR3:BR14,BS3:BS14)</f>
        <v>décembre</v>
      </c>
    </row>
    <row r="15" spans="12:72" ht="13.5" customHeight="1">
      <c r="L15" s="135"/>
      <c r="M15" s="135"/>
      <c r="N15" s="135"/>
      <c r="BB15" s="44" t="s">
        <v>14</v>
      </c>
      <c r="BC15" s="45">
        <v>10</v>
      </c>
      <c r="BD15" s="45">
        <v>15</v>
      </c>
      <c r="BE15" s="45">
        <v>1000</v>
      </c>
      <c r="BF15" s="45">
        <v>1000</v>
      </c>
      <c r="BG15" s="45">
        <v>1000</v>
      </c>
      <c r="BH15" s="45">
        <v>1000</v>
      </c>
      <c r="BI15" s="45"/>
      <c r="BJ15" s="46"/>
      <c r="BK15" s="47"/>
      <c r="BL15" s="48"/>
      <c r="BM15" s="41"/>
      <c r="BN15" s="41"/>
      <c r="BO15" s="41"/>
      <c r="BP15" s="48"/>
      <c r="BQ15" s="48"/>
      <c r="BT15" s="9"/>
    </row>
    <row r="16" spans="12:72" ht="13.5" customHeight="1">
      <c r="L16" s="135"/>
      <c r="M16" s="135"/>
      <c r="N16" s="135"/>
      <c r="BB16" s="49" t="s">
        <v>57</v>
      </c>
      <c r="BC16" s="50">
        <f>BE12</f>
        <v>0.2</v>
      </c>
      <c r="BD16" s="99">
        <f>BF12</f>
        <v>0.13333333333333333</v>
      </c>
      <c r="BE16" s="51"/>
      <c r="BF16" s="51"/>
      <c r="BG16" s="51"/>
      <c r="BH16" s="51"/>
      <c r="BI16" s="51" t="s">
        <v>71</v>
      </c>
      <c r="BJ16" s="52"/>
      <c r="BK16" s="47"/>
      <c r="BL16" s="48"/>
      <c r="BM16" s="41"/>
      <c r="BN16" s="41"/>
      <c r="BO16" s="41"/>
      <c r="BP16" s="48"/>
      <c r="BQ16" s="48"/>
      <c r="BT16" s="9"/>
    </row>
    <row r="17" spans="2:72" ht="12.75" customHeight="1">
      <c r="B17" s="123" t="s">
        <v>40</v>
      </c>
      <c r="C17" s="123"/>
      <c r="D17" s="123"/>
      <c r="F17" s="53" t="s">
        <v>41</v>
      </c>
      <c r="L17" s="135"/>
      <c r="M17" s="135"/>
      <c r="N17" s="135"/>
      <c r="BB17" s="49" t="s">
        <v>39</v>
      </c>
      <c r="BC17" s="54">
        <f>BE12</f>
        <v>0.2</v>
      </c>
      <c r="BD17" s="95">
        <f>BF12</f>
        <v>0.13333333333333333</v>
      </c>
      <c r="BE17" s="55"/>
      <c r="BF17" s="55"/>
      <c r="BG17" s="55"/>
      <c r="BH17" s="55"/>
      <c r="BI17" s="55" t="s">
        <v>71</v>
      </c>
      <c r="BJ17" s="56"/>
      <c r="BK17" s="47"/>
      <c r="BL17" s="57" t="str">
        <f>D11</f>
        <v>Agent de maîtrise</v>
      </c>
      <c r="BM17" s="58"/>
      <c r="BN17" s="58"/>
      <c r="BO17" s="58"/>
      <c r="BP17" s="58"/>
      <c r="BQ17" s="59"/>
      <c r="BT17" s="9"/>
    </row>
    <row r="18" spans="2:72" ht="12.75" customHeight="1">
      <c r="B18" s="19" t="str">
        <f>IF(B12&gt;BC13,CONCATENATE("Supérieure à ",BC13," ans"),"")</f>
        <v>Supérieure à 2 ans</v>
      </c>
      <c r="C18" s="60" t="str">
        <f>IF(B12&gt;BC13,"Oui","")</f>
        <v>Oui</v>
      </c>
      <c r="D18" s="19" t="str">
        <f>IF(C18="OUI",BB13,"")</f>
        <v>Droits convention ouverts</v>
      </c>
      <c r="F18" s="61"/>
      <c r="L18" s="135"/>
      <c r="M18" s="135"/>
      <c r="N18" s="135"/>
      <c r="BB18" s="49" t="s">
        <v>54</v>
      </c>
      <c r="BC18" s="54">
        <f>BE12</f>
        <v>0.2</v>
      </c>
      <c r="BD18" s="95">
        <f>BF12</f>
        <v>0.13333333333333333</v>
      </c>
      <c r="BE18" s="55"/>
      <c r="BF18" s="55"/>
      <c r="BG18" s="55"/>
      <c r="BH18" s="55"/>
      <c r="BI18" s="55" t="s">
        <v>71</v>
      </c>
      <c r="BJ18" s="56"/>
      <c r="BK18" s="62"/>
      <c r="BL18" s="25" t="str">
        <f aca="true" t="shared" si="0" ref="BL18:BS18">BC14</f>
        <v>De 0 à 10 ans</v>
      </c>
      <c r="BM18" s="25" t="str">
        <f t="shared" si="0"/>
        <v>De 11 à 15 ans</v>
      </c>
      <c r="BN18" s="25">
        <f t="shared" si="0"/>
        <v>0</v>
      </c>
      <c r="BO18" s="25">
        <f t="shared" si="0"/>
        <v>0</v>
      </c>
      <c r="BP18" s="25">
        <f t="shared" si="0"/>
        <v>0</v>
      </c>
      <c r="BQ18" s="25">
        <f t="shared" si="0"/>
        <v>0</v>
      </c>
      <c r="BR18" s="25" t="str">
        <f t="shared" si="0"/>
        <v>Limite ancienneté</v>
      </c>
      <c r="BS18" s="25" t="str">
        <f t="shared" si="0"/>
        <v>Plafond</v>
      </c>
      <c r="BT18" s="9"/>
    </row>
    <row r="19" spans="2:72" ht="12.75" customHeight="1">
      <c r="B19" s="19" t="str">
        <f>IF(B12&gt;BC13,BC14,IF(B12&gt;BC12,CONCATENATE("Supérieure à ",BC12," an"),""))</f>
        <v>De 0 à 10 ans</v>
      </c>
      <c r="C19" s="60" t="str">
        <f>IF(B12&gt;BC12,"Oui","")</f>
        <v>Oui</v>
      </c>
      <c r="D19" s="19" t="str">
        <f>IF(BO14=BB12,BO14,IF(BO14="",CONCATENATE(BL20*10," dixièmes de mois par année dans l'entreprise"),""))</f>
        <v>2 dixièmes de mois par année dans l'entreprise</v>
      </c>
      <c r="F19" s="63">
        <f>IF(D19=BB12,BP14,IF(D18=BB13,BL19,""))</f>
        <v>2</v>
      </c>
      <c r="L19" s="135"/>
      <c r="M19" s="135"/>
      <c r="N19" s="135"/>
      <c r="BB19" s="49" t="s">
        <v>23</v>
      </c>
      <c r="BC19" s="54">
        <f>BE12</f>
        <v>0.2</v>
      </c>
      <c r="BD19" s="95">
        <f>BF12</f>
        <v>0.13333333333333333</v>
      </c>
      <c r="BE19" s="55"/>
      <c r="BF19" s="55"/>
      <c r="BG19" s="55"/>
      <c r="BH19" s="55"/>
      <c r="BI19" s="55" t="s">
        <v>71</v>
      </c>
      <c r="BJ19" s="56"/>
      <c r="BK19" s="47"/>
      <c r="BL19" s="64">
        <f>MIN(B12,BC15)*LOOKUP(D11,$BB$16:$BB$20,$BC$16:$BC$20)</f>
        <v>2</v>
      </c>
      <c r="BM19" s="100">
        <f>MIN(B12-BC15,BD15-BC15+1)*LOOKUP($D$11,$BB$16:$BB$20,$BD$16:$BD$20)</f>
        <v>0.8</v>
      </c>
      <c r="BN19" s="64">
        <f>MIN(B12-BD15,BE15-BD15)*BN20</f>
        <v>0</v>
      </c>
      <c r="BO19" s="64">
        <f>MIN(B12-BE15,BF15-BE15)*BO20</f>
        <v>0</v>
      </c>
      <c r="BP19" s="64">
        <f>MIN((B12-BF15),BG15-BF15)*BP20</f>
        <v>0</v>
      </c>
      <c r="BQ19" s="64">
        <f>ROUND((B12-BG15)*BQ20,2)</f>
        <v>0</v>
      </c>
      <c r="BR19" s="64" t="str">
        <f>LOOKUP(D11,BB16:BB20,BI16:BI20)</f>
        <v>Néant</v>
      </c>
      <c r="BS19" s="64">
        <f>LOOKUP(D11,BB16:BB20,BJ16:BJ20)</f>
        <v>0</v>
      </c>
      <c r="BT19" s="9"/>
    </row>
    <row r="20" spans="2:72" ht="12.75" customHeight="1">
      <c r="B20" s="19" t="str">
        <f>IF(B12&gt;BC15,BD14,"")</f>
        <v>De 11 à 15 ans</v>
      </c>
      <c r="C20" s="60" t="str">
        <f>IF(B12&gt;BC15,"Oui","")</f>
        <v>Oui</v>
      </c>
      <c r="D20" s="101" t="str">
        <f>IF(C20="oui",CONCATENATE(BM20*10," dixièmes de mois par année dans l'entreprise"),"")</f>
        <v>1,33 dixièmes de mois par année dans l'entreprise</v>
      </c>
      <c r="F20" s="63">
        <f>IF(C20="oui",BM19,"")</f>
        <v>0.8</v>
      </c>
      <c r="L20" s="135"/>
      <c r="M20" s="135"/>
      <c r="N20" s="135"/>
      <c r="BB20" s="65" t="s">
        <v>64</v>
      </c>
      <c r="BC20" s="66">
        <f>BE12</f>
        <v>0.2</v>
      </c>
      <c r="BD20" s="102">
        <f>BF12</f>
        <v>0.13333333333333333</v>
      </c>
      <c r="BE20" s="67"/>
      <c r="BF20" s="67"/>
      <c r="BG20" s="67"/>
      <c r="BH20" s="67"/>
      <c r="BI20" s="67" t="s">
        <v>71</v>
      </c>
      <c r="BJ20" s="68"/>
      <c r="BK20" s="47"/>
      <c r="BL20" s="25">
        <f>LOOKUP(D11,$BB$16:$BB$20,$BC$16:$BC$20)</f>
        <v>0.2</v>
      </c>
      <c r="BM20" s="103">
        <f>ROUND(LOOKUP($D$11,$BB$16:$BB$20,$BD$16:$BD$20),3)</f>
        <v>0.133</v>
      </c>
      <c r="BN20" s="25">
        <f>LOOKUP($D$11,$BB$16:$BB$20,$BE$16:$BE$20)</f>
        <v>0</v>
      </c>
      <c r="BO20" s="69">
        <f>LOOKUP($D$11,$BB$16:$BB$20,$BF$16:$BF$20)</f>
        <v>0</v>
      </c>
      <c r="BP20" s="25">
        <f>LOOKUP($D$11,$BB$16:$BB$20,$BG$16:$BG$20)</f>
        <v>0</v>
      </c>
      <c r="BQ20" s="25">
        <f>LOOKUP($D$11,$BB$16:$BB$20,$BH$16:$BH$20)</f>
        <v>0</v>
      </c>
      <c r="BR20" s="64"/>
      <c r="BT20" s="9"/>
    </row>
    <row r="21" spans="2:72" ht="12.75" customHeight="1">
      <c r="B21" s="19">
        <f>IF(B12&gt;BD15,BE14,"")</f>
        <v>0</v>
      </c>
      <c r="C21" s="60" t="str">
        <f>IF(B12&gt;BD15,"Oui","")</f>
        <v>Oui</v>
      </c>
      <c r="D21" s="19" t="str">
        <f>IF(C21="oui",CONCATENATE(BN20*10," dixièmes de mois par année dans l'entreprise"),"")</f>
        <v>0 dixièmes de mois par année dans l'entreprise</v>
      </c>
      <c r="F21" s="63">
        <f>IF(C21="oui",BN19,"")</f>
        <v>0</v>
      </c>
      <c r="L21" s="135"/>
      <c r="M21" s="135"/>
      <c r="N21" s="135"/>
      <c r="BB21" s="70"/>
      <c r="BC21" s="40"/>
      <c r="BD21" s="40"/>
      <c r="BE21" s="40"/>
      <c r="BF21" s="40"/>
      <c r="BG21" s="40"/>
      <c r="BH21" s="40"/>
      <c r="BI21" s="40"/>
      <c r="BJ21" s="40"/>
      <c r="BK21" s="40"/>
      <c r="BL21" s="41"/>
      <c r="BM21" s="41"/>
      <c r="BN21" s="41"/>
      <c r="BO21" s="41"/>
      <c r="BP21" s="71" t="s">
        <v>14</v>
      </c>
      <c r="BQ21" s="71"/>
      <c r="BR21" s="72">
        <f>IF(BM6&gt;BR20,BI15,IF(BM6&gt;BR19,BH15,0))</f>
        <v>0</v>
      </c>
      <c r="BT21" s="9"/>
    </row>
    <row r="22" spans="2:72" ht="12.75" customHeight="1">
      <c r="B22" s="19">
        <f>IF(B12&gt;BE15,BF14,"")</f>
      </c>
      <c r="C22" s="60">
        <f>IF(B12&gt;BE15,"Oui","")</f>
      </c>
      <c r="D22" s="19">
        <f>IF(C22="oui",CONCATENATE(BO20*10," dixièmes de mois par année dans l'entreprise",""),"")</f>
      </c>
      <c r="F22" s="63">
        <f>IF(C22="OUI",BO19,"")</f>
      </c>
      <c r="L22" s="135"/>
      <c r="M22" s="135"/>
      <c r="N22" s="135"/>
      <c r="BB22" s="70"/>
      <c r="BC22" s="40"/>
      <c r="BD22" s="40"/>
      <c r="BE22" s="40"/>
      <c r="BF22" s="40"/>
      <c r="BG22" s="40"/>
      <c r="BH22" s="40"/>
      <c r="BI22" s="40"/>
      <c r="BJ22" s="40"/>
      <c r="BK22" s="40"/>
      <c r="BL22" s="41"/>
      <c r="BM22" s="41"/>
      <c r="BN22" s="41"/>
      <c r="BO22" s="41"/>
      <c r="BP22" s="41"/>
      <c r="BQ22" s="41"/>
      <c r="BT22" s="9"/>
    </row>
    <row r="23" spans="2:72" ht="12.75" customHeight="1">
      <c r="B23" s="19">
        <f>IF(B12&gt;BF15,BG14,"")</f>
      </c>
      <c r="C23" s="60">
        <f>IF(B12&gt;BF15,"Oui","")</f>
      </c>
      <c r="D23" s="19">
        <f>IF(C23="oui",CONCATENATE(BP20*10," dixièmes de mois par année dans l'entreprise"),"")</f>
      </c>
      <c r="F23" s="63">
        <f>IF(C23="OUI",BP19,"")</f>
      </c>
      <c r="L23" s="135"/>
      <c r="M23" s="135"/>
      <c r="N23" s="135"/>
      <c r="BB23" s="70"/>
      <c r="BC23" s="40"/>
      <c r="BD23" s="40"/>
      <c r="BE23" s="40"/>
      <c r="BF23" s="40"/>
      <c r="BG23" s="40"/>
      <c r="BH23" s="40"/>
      <c r="BI23" s="40"/>
      <c r="BJ23" s="40"/>
      <c r="BK23" s="40"/>
      <c r="BL23" s="41"/>
      <c r="BM23" s="41"/>
      <c r="BN23" s="41"/>
      <c r="BO23" s="41"/>
      <c r="BP23" s="41"/>
      <c r="BQ23" s="41"/>
      <c r="BT23" s="9"/>
    </row>
    <row r="24" spans="2:72" ht="12.75" customHeight="1">
      <c r="B24" s="73"/>
      <c r="C24" s="74">
        <f>IF(B12&gt;BG15,"Oui","")</f>
      </c>
      <c r="D24" s="73">
        <f>IF(C24="oui",CONCATENATE(BQ20*10," dixièmes de mois par année dans l'entreprise"),"")</f>
      </c>
      <c r="F24" s="75">
        <f>IF(C24="Oui",BQ19,"")</f>
      </c>
      <c r="L24" s="135"/>
      <c r="M24" s="135"/>
      <c r="N24" s="135"/>
      <c r="BB24" s="40"/>
      <c r="BC24" s="40"/>
      <c r="BD24" s="40"/>
      <c r="BE24" s="40"/>
      <c r="BF24" s="40"/>
      <c r="BG24" s="40"/>
      <c r="BH24" s="40"/>
      <c r="BI24" s="40"/>
      <c r="BJ24" s="40"/>
      <c r="BK24" s="40"/>
      <c r="BL24" s="41"/>
      <c r="BM24" s="41"/>
      <c r="BN24" s="41"/>
      <c r="BO24" s="41"/>
      <c r="BP24" s="41"/>
      <c r="BQ24" s="41"/>
      <c r="BT24" s="9"/>
    </row>
    <row r="25" spans="6:72" ht="12.75" customHeight="1">
      <c r="F25" s="76">
        <f>SUM(F19:F24)</f>
        <v>2.8</v>
      </c>
      <c r="BB25" s="40"/>
      <c r="BC25" s="40"/>
      <c r="BD25" s="40"/>
      <c r="BE25" s="40"/>
      <c r="BF25" s="40"/>
      <c r="BG25" s="40"/>
      <c r="BH25" s="40"/>
      <c r="BI25" s="40"/>
      <c r="BJ25" s="40"/>
      <c r="BK25" s="40"/>
      <c r="BL25" s="41"/>
      <c r="BM25" s="41"/>
      <c r="BN25" s="41"/>
      <c r="BO25" s="41"/>
      <c r="BP25" s="41"/>
      <c r="BQ25" s="41"/>
      <c r="BT25" s="9"/>
    </row>
    <row r="26" spans="2:72" ht="12.75" customHeight="1">
      <c r="B26" s="77" t="s">
        <v>44</v>
      </c>
      <c r="C26" s="78" t="s">
        <v>45</v>
      </c>
      <c r="BB26" s="6"/>
      <c r="BC26" s="6"/>
      <c r="BD26" s="6"/>
      <c r="BE26" s="6"/>
      <c r="BF26" s="6"/>
      <c r="BG26" s="6"/>
      <c r="BH26" s="6"/>
      <c r="BI26" s="6"/>
      <c r="BJ26" s="6"/>
      <c r="BK26" s="6"/>
      <c r="BL26" s="8"/>
      <c r="BM26" s="8"/>
      <c r="BN26" s="8"/>
      <c r="BO26" s="8"/>
      <c r="BT26" s="9"/>
    </row>
    <row r="27" spans="2:72" ht="12.75">
      <c r="B27" s="19" t="str">
        <f>CONCATENATE("M-1          ",BT3)</f>
        <v>M-1          novembre</v>
      </c>
      <c r="C27" s="120">
        <f>'Chimie IDCC44'!C27</f>
        <v>1000</v>
      </c>
      <c r="BB27" s="124"/>
      <c r="BC27" s="124"/>
      <c r="BD27" s="124"/>
      <c r="BE27" s="124"/>
      <c r="BF27" s="6"/>
      <c r="BG27" s="6"/>
      <c r="BH27" s="6"/>
      <c r="BI27" s="6"/>
      <c r="BJ27" s="6"/>
      <c r="BK27" s="6"/>
      <c r="BL27" s="8"/>
      <c r="BM27" s="8"/>
      <c r="BN27" s="8"/>
      <c r="BO27" s="8"/>
      <c r="BT27" s="9"/>
    </row>
    <row r="28" spans="2:72" ht="12.75">
      <c r="B28" s="19" t="str">
        <f>CONCATENATE("M-2          ",BT4)</f>
        <v>M-2          octobre</v>
      </c>
      <c r="C28" s="120">
        <f>'Chimie IDCC44'!C28</f>
        <v>1000</v>
      </c>
      <c r="BB28" s="6"/>
      <c r="BC28" s="6"/>
      <c r="BD28" s="6"/>
      <c r="BE28" s="6"/>
      <c r="BF28" s="6"/>
      <c r="BG28" s="6"/>
      <c r="BH28" s="6"/>
      <c r="BI28" s="6"/>
      <c r="BJ28" s="6"/>
      <c r="BK28" s="6"/>
      <c r="BL28" s="8"/>
      <c r="BM28" s="8"/>
      <c r="BN28" s="8"/>
      <c r="BO28" s="8"/>
      <c r="BT28" s="9"/>
    </row>
    <row r="29" spans="2:72" ht="12.75">
      <c r="B29" s="19" t="str">
        <f>CONCATENATE("M-3          ",BT5)</f>
        <v>M-3          septembre</v>
      </c>
      <c r="C29" s="120">
        <f>'Chimie IDCC44'!C29</f>
        <v>1000</v>
      </c>
      <c r="BB29" s="6"/>
      <c r="BC29" s="6"/>
      <c r="BD29" s="6"/>
      <c r="BE29" s="6"/>
      <c r="BF29" s="6"/>
      <c r="BG29" s="6"/>
      <c r="BH29" s="6"/>
      <c r="BI29" s="6"/>
      <c r="BJ29" s="6"/>
      <c r="BK29" s="6"/>
      <c r="BL29" s="8"/>
      <c r="BM29" s="8"/>
      <c r="BN29" s="8"/>
      <c r="BO29" s="8"/>
      <c r="BT29" s="9"/>
    </row>
    <row r="30" spans="2:72" ht="12.75">
      <c r="B30" s="19" t="str">
        <f>CONCATENATE("M-4          ",BT6)</f>
        <v>M-4          août</v>
      </c>
      <c r="C30" s="120">
        <f>'Chimie IDCC44'!C30</f>
        <v>1000</v>
      </c>
      <c r="BB30" s="6"/>
      <c r="BC30" s="6"/>
      <c r="BD30" s="6"/>
      <c r="BE30" s="6"/>
      <c r="BF30" s="6"/>
      <c r="BG30" s="6"/>
      <c r="BH30" s="6"/>
      <c r="BI30" s="6"/>
      <c r="BJ30" s="6"/>
      <c r="BK30" s="6"/>
      <c r="BL30" s="8"/>
      <c r="BM30" s="8"/>
      <c r="BN30" s="8"/>
      <c r="BO30" s="8"/>
      <c r="BT30" s="9"/>
    </row>
    <row r="31" spans="2:71" ht="12.75">
      <c r="B31" s="19" t="str">
        <f>CONCATENATE("M-5          ",BT7)</f>
        <v>M-5          juillet</v>
      </c>
      <c r="C31" s="120">
        <f>'Chimie IDCC44'!C31</f>
        <v>1000</v>
      </c>
      <c r="BL31" s="16"/>
      <c r="BM31" s="16"/>
      <c r="BN31" s="16"/>
      <c r="BO31" s="16"/>
      <c r="BP31" s="16"/>
      <c r="BQ31" s="16"/>
      <c r="BR31" s="16"/>
      <c r="BS31" s="16"/>
    </row>
    <row r="32" spans="2:71" ht="12.75">
      <c r="B32" s="19" t="str">
        <f>CONCATENATE("M-6          ",BT8)</f>
        <v>M-6          juin</v>
      </c>
      <c r="C32" s="120">
        <f>'Chimie IDCC44'!C32</f>
        <v>1000</v>
      </c>
      <c r="BL32" s="16"/>
      <c r="BM32" s="16"/>
      <c r="BN32" s="16"/>
      <c r="BO32" s="16"/>
      <c r="BP32" s="16"/>
      <c r="BQ32" s="16"/>
      <c r="BR32" s="16"/>
      <c r="BS32" s="16"/>
    </row>
    <row r="33" spans="2:71" ht="12.75">
      <c r="B33" s="19" t="str">
        <f>CONCATENATE("M-7          ",BT9)</f>
        <v>M-7          mai</v>
      </c>
      <c r="C33" s="120">
        <f>'Chimie IDCC44'!C33</f>
        <v>1000</v>
      </c>
      <c r="BL33" s="16"/>
      <c r="BM33" s="16"/>
      <c r="BN33" s="16"/>
      <c r="BO33" s="16"/>
      <c r="BP33" s="16"/>
      <c r="BQ33" s="16"/>
      <c r="BR33" s="16"/>
      <c r="BS33" s="16"/>
    </row>
    <row r="34" spans="2:71" ht="12.75">
      <c r="B34" s="19" t="str">
        <f>CONCATENATE("M-8          ",BT10)</f>
        <v>M-8          avril</v>
      </c>
      <c r="C34" s="120">
        <f>'Chimie IDCC44'!C34</f>
        <v>1000</v>
      </c>
      <c r="BL34" s="16"/>
      <c r="BM34" s="16"/>
      <c r="BN34" s="16"/>
      <c r="BO34" s="16"/>
      <c r="BP34" s="16"/>
      <c r="BQ34" s="16"/>
      <c r="BR34" s="16"/>
      <c r="BS34" s="16"/>
    </row>
    <row r="35" spans="2:71" ht="12.75">
      <c r="B35" s="19" t="str">
        <f>CONCATENATE("M-9          ",BT11)</f>
        <v>M-9          mars</v>
      </c>
      <c r="C35" s="120">
        <f>'Chimie IDCC44'!C35</f>
        <v>1000</v>
      </c>
      <c r="BL35" s="16"/>
      <c r="BM35" s="16"/>
      <c r="BN35" s="16"/>
      <c r="BO35" s="16"/>
      <c r="BP35" s="16"/>
      <c r="BQ35" s="16"/>
      <c r="BR35" s="16"/>
      <c r="BS35" s="16"/>
    </row>
    <row r="36" spans="2:71" ht="12.75">
      <c r="B36" s="19" t="str">
        <f>CONCATENATE("M-10         ",BT12)</f>
        <v>M-10         février</v>
      </c>
      <c r="C36" s="120">
        <f>'Chimie IDCC44'!C36</f>
        <v>1000</v>
      </c>
      <c r="BL36" s="16"/>
      <c r="BM36" s="16"/>
      <c r="BN36" s="16"/>
      <c r="BO36" s="16"/>
      <c r="BP36" s="16"/>
      <c r="BQ36" s="16"/>
      <c r="BR36" s="16"/>
      <c r="BS36" s="16"/>
    </row>
    <row r="37" spans="2:71" ht="12.75">
      <c r="B37" s="19" t="str">
        <f>CONCATENATE("M-11         ",BT13)</f>
        <v>M-11         janvier</v>
      </c>
      <c r="C37" s="120">
        <f>'Chimie IDCC44'!C37</f>
        <v>1000</v>
      </c>
      <c r="BL37" s="16"/>
      <c r="BM37" s="16"/>
      <c r="BN37" s="16"/>
      <c r="BO37" s="16"/>
      <c r="BP37" s="16"/>
      <c r="BQ37" s="16"/>
      <c r="BR37" s="16"/>
      <c r="BS37" s="16"/>
    </row>
    <row r="38" spans="2:71" ht="12.75">
      <c r="B38" s="19" t="str">
        <f>CONCATENATE("M-12         ",BT14)</f>
        <v>M-12         décembre</v>
      </c>
      <c r="C38" s="120">
        <f>'Chimie IDCC44'!C38</f>
        <v>1000</v>
      </c>
      <c r="BL38" s="16"/>
      <c r="BM38" s="16"/>
      <c r="BN38" s="16"/>
      <c r="BO38" s="16"/>
      <c r="BP38" s="16"/>
      <c r="BQ38" s="16"/>
      <c r="BR38" s="16"/>
      <c r="BS38" s="16"/>
    </row>
    <row r="39" spans="3:71" ht="12.75">
      <c r="C39" s="80">
        <f>SUM(C27:C38)/COUNTA(C27:C38)</f>
        <v>1000</v>
      </c>
      <c r="BL39" s="16"/>
      <c r="BM39" s="16"/>
      <c r="BN39" s="16"/>
      <c r="BO39" s="16"/>
      <c r="BP39" s="16"/>
      <c r="BQ39" s="16"/>
      <c r="BR39" s="16"/>
      <c r="BS39" s="16"/>
    </row>
    <row r="40" spans="64:71" ht="12.75">
      <c r="BL40" s="16"/>
      <c r="BM40" s="16"/>
      <c r="BN40" s="16"/>
      <c r="BO40" s="16"/>
      <c r="BP40" s="16"/>
      <c r="BQ40" s="16"/>
      <c r="BR40" s="16"/>
      <c r="BS40" s="16"/>
    </row>
    <row r="41" spans="2:71" ht="12.75">
      <c r="B41" s="77" t="s">
        <v>44</v>
      </c>
      <c r="C41" s="78" t="s">
        <v>47</v>
      </c>
      <c r="BL41" s="16"/>
      <c r="BM41" s="16"/>
      <c r="BN41" s="16"/>
      <c r="BO41" s="16"/>
      <c r="BP41" s="16"/>
      <c r="BQ41" s="16"/>
      <c r="BR41" s="16"/>
      <c r="BS41" s="16"/>
    </row>
    <row r="42" spans="2:71" ht="12.75">
      <c r="B42" s="19" t="str">
        <f aca="true" t="shared" si="1" ref="B42:C44">B27</f>
        <v>M-1          novembre</v>
      </c>
      <c r="C42" s="81">
        <f t="shared" si="1"/>
        <v>1000</v>
      </c>
      <c r="BL42" s="16"/>
      <c r="BM42" s="16"/>
      <c r="BN42" s="16"/>
      <c r="BO42" s="16"/>
      <c r="BP42" s="16"/>
      <c r="BQ42" s="16"/>
      <c r="BR42" s="16"/>
      <c r="BS42" s="16"/>
    </row>
    <row r="43" spans="2:71" ht="12.75">
      <c r="B43" s="19" t="str">
        <f t="shared" si="1"/>
        <v>M-2          octobre</v>
      </c>
      <c r="C43" s="81">
        <f t="shared" si="1"/>
        <v>1000</v>
      </c>
      <c r="BL43" s="16"/>
      <c r="BM43" s="16"/>
      <c r="BN43" s="16"/>
      <c r="BO43" s="16"/>
      <c r="BP43" s="16"/>
      <c r="BQ43" s="16"/>
      <c r="BR43" s="16"/>
      <c r="BS43" s="16"/>
    </row>
    <row r="44" spans="2:71" ht="12.75">
      <c r="B44" s="19" t="str">
        <f t="shared" si="1"/>
        <v>M-3          septembre</v>
      </c>
      <c r="C44" s="81">
        <f t="shared" si="1"/>
        <v>1000</v>
      </c>
      <c r="BL44" s="16"/>
      <c r="BM44" s="16"/>
      <c r="BN44" s="16"/>
      <c r="BO44" s="16"/>
      <c r="BP44" s="16"/>
      <c r="BQ44" s="16"/>
      <c r="BR44" s="16"/>
      <c r="BS44" s="16"/>
    </row>
    <row r="45" spans="3:71" ht="12.75">
      <c r="C45" s="80">
        <f>SUM(C42:C44)/COUNTA(C42:C44)</f>
        <v>1000</v>
      </c>
      <c r="BL45" s="16"/>
      <c r="BM45" s="16"/>
      <c r="BN45" s="16"/>
      <c r="BO45" s="16"/>
      <c r="BP45" s="16"/>
      <c r="BQ45" s="16"/>
      <c r="BR45" s="16"/>
      <c r="BS45" s="16"/>
    </row>
    <row r="46" spans="64:71" ht="12.75">
      <c r="BL46" s="16"/>
      <c r="BM46" s="16"/>
      <c r="BN46" s="16"/>
      <c r="BO46" s="16"/>
      <c r="BP46" s="16"/>
      <c r="BQ46" s="16"/>
      <c r="BR46" s="16"/>
      <c r="BS46" s="16"/>
    </row>
    <row r="47" spans="2:71" ht="12.75">
      <c r="B47" s="123" t="s">
        <v>48</v>
      </c>
      <c r="C47" s="123"/>
      <c r="BL47" s="16"/>
      <c r="BM47" s="16"/>
      <c r="BN47" s="16"/>
      <c r="BO47" s="16"/>
      <c r="BP47" s="16"/>
      <c r="BQ47" s="16"/>
      <c r="BR47" s="16"/>
      <c r="BS47" s="16"/>
    </row>
    <row r="48" spans="2:71" ht="15">
      <c r="B48" s="125">
        <f>MAX(C39,C45)</f>
        <v>1000</v>
      </c>
      <c r="C48" s="125"/>
      <c r="D48" s="82" t="str">
        <f>IF(B48=C45,"&lt;= Moyenne des 3 derniers mois",IF(B48=C39,"&lt;=Moyenne sur un an",""))</f>
        <v>&lt;= Moyenne des 3 derniers mois</v>
      </c>
      <c r="BL48" s="83"/>
      <c r="BM48" s="83"/>
      <c r="BN48" s="16"/>
      <c r="BO48" s="16"/>
      <c r="BP48" s="16"/>
      <c r="BQ48" s="16"/>
      <c r="BR48" s="16"/>
      <c r="BS48" s="16"/>
    </row>
    <row r="49" spans="64:71" ht="12.75">
      <c r="BL49" s="16"/>
      <c r="BM49" s="16"/>
      <c r="BN49" s="16"/>
      <c r="BO49" s="16"/>
      <c r="BP49" s="16"/>
      <c r="BQ49" s="16"/>
      <c r="BR49" s="16"/>
      <c r="BS49" s="16"/>
    </row>
    <row r="50" spans="2:71" ht="12.75">
      <c r="B50" s="126"/>
      <c r="C50" s="126"/>
      <c r="BL50" s="16"/>
      <c r="BM50" s="16"/>
      <c r="BN50" s="16"/>
      <c r="BO50" s="16"/>
      <c r="BP50" s="16"/>
      <c r="BQ50" s="16"/>
      <c r="BR50" s="16"/>
      <c r="BS50" s="16"/>
    </row>
    <row r="51" spans="2:71" ht="12.75">
      <c r="B51" s="85"/>
      <c r="C51" s="84"/>
      <c r="D51" s="84"/>
      <c r="BL51" s="16"/>
      <c r="BM51" s="16"/>
      <c r="BN51" s="16"/>
      <c r="BO51" s="16"/>
      <c r="BP51" s="16"/>
      <c r="BQ51" s="16"/>
      <c r="BR51" s="16"/>
      <c r="BS51" s="16"/>
    </row>
    <row r="52" spans="2:71" ht="12.75">
      <c r="B52" s="85"/>
      <c r="C52" s="84"/>
      <c r="D52" s="84"/>
      <c r="BL52" s="16"/>
      <c r="BM52" s="16"/>
      <c r="BN52" s="16"/>
      <c r="BO52" s="16"/>
      <c r="BP52" s="16"/>
      <c r="BQ52" s="16"/>
      <c r="BR52" s="16"/>
      <c r="BS52" s="16"/>
    </row>
    <row r="53" spans="2:71" ht="12.75">
      <c r="B53" s="92"/>
      <c r="C53" s="104"/>
      <c r="BL53" s="16"/>
      <c r="BM53" s="16"/>
      <c r="BN53" s="16"/>
      <c r="BO53" s="16"/>
      <c r="BP53" s="16"/>
      <c r="BQ53" s="16"/>
      <c r="BR53" s="16"/>
      <c r="BS53" s="16"/>
    </row>
    <row r="54" spans="2:71" ht="12.75">
      <c r="B54" s="89"/>
      <c r="C54" s="105"/>
      <c r="D54" s="85"/>
      <c r="BL54" s="16"/>
      <c r="BM54" s="16"/>
      <c r="BN54" s="16"/>
      <c r="BO54" s="16"/>
      <c r="BP54" s="16"/>
      <c r="BQ54" s="16"/>
      <c r="BR54" s="16"/>
      <c r="BS54" s="16"/>
    </row>
    <row r="55" spans="2:71" ht="12.75">
      <c r="B55" s="106" t="s">
        <v>70</v>
      </c>
      <c r="C55" s="90">
        <f>BP14</f>
        <v>9.66</v>
      </c>
      <c r="BL55" s="16"/>
      <c r="BM55" s="16"/>
      <c r="BN55" s="16"/>
      <c r="BO55" s="16"/>
      <c r="BP55" s="16"/>
      <c r="BQ55" s="16"/>
      <c r="BR55" s="16"/>
      <c r="BS55" s="16"/>
    </row>
    <row r="56" spans="64:71" ht="12.75">
      <c r="BL56" s="16"/>
      <c r="BM56" s="16"/>
      <c r="BN56" s="16"/>
      <c r="BO56" s="16"/>
      <c r="BP56" s="16"/>
      <c r="BQ56" s="16"/>
      <c r="BR56" s="16"/>
      <c r="BS56" s="16"/>
    </row>
    <row r="57" spans="2:71" ht="12.75">
      <c r="B57" s="123" t="s">
        <v>51</v>
      </c>
      <c r="C57" s="123"/>
      <c r="BL57" s="16"/>
      <c r="BM57" s="16"/>
      <c r="BN57" s="16"/>
      <c r="BO57" s="16"/>
      <c r="BP57" s="16"/>
      <c r="BQ57" s="16"/>
      <c r="BR57" s="16"/>
      <c r="BS57" s="16"/>
    </row>
    <row r="58" spans="2:71" ht="15.75">
      <c r="B58" s="137">
        <f>ROUND(MAX(BP14,C54)*B48,3)</f>
        <v>9660</v>
      </c>
      <c r="C58" s="137"/>
      <c r="D58" s="87" t="str">
        <f>IF(BP14&gt;C54,"&lt;= Indemnité légale","&lt;= Indemnité conventionnelle")</f>
        <v>&lt;= Indemnité légale</v>
      </c>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L58" s="16"/>
      <c r="BM58" s="16"/>
      <c r="BN58" s="16"/>
      <c r="BO58" s="16"/>
      <c r="BP58" s="16"/>
      <c r="BQ58" s="16"/>
      <c r="BR58" s="16"/>
      <c r="BS58" s="16"/>
    </row>
    <row r="59" spans="64:71" ht="12.75">
      <c r="BL59" s="16"/>
      <c r="BM59" s="16"/>
      <c r="BN59" s="16"/>
      <c r="BO59" s="16"/>
      <c r="BP59" s="16"/>
      <c r="BQ59" s="16"/>
      <c r="BR59" s="16"/>
      <c r="BS59" s="16"/>
    </row>
    <row r="60" spans="2:71" ht="12.75">
      <c r="B60" s="129" t="s">
        <v>74</v>
      </c>
      <c r="C60" s="130"/>
      <c r="D60" s="130"/>
      <c r="E60" s="130"/>
      <c r="F60" s="130"/>
      <c r="G60" s="130"/>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BL60" s="16"/>
      <c r="BM60" s="16"/>
      <c r="BN60" s="16"/>
      <c r="BO60" s="16"/>
      <c r="BP60" s="16"/>
      <c r="BQ60" s="16"/>
      <c r="BR60" s="16"/>
      <c r="BS60" s="16"/>
    </row>
    <row r="61" spans="2:71" ht="12.75">
      <c r="B61" s="130"/>
      <c r="C61" s="130"/>
      <c r="D61" s="130"/>
      <c r="E61" s="130"/>
      <c r="F61" s="130"/>
      <c r="G61" s="130"/>
      <c r="BL61" s="16"/>
      <c r="BM61" s="16"/>
      <c r="BN61" s="16"/>
      <c r="BO61" s="16"/>
      <c r="BP61" s="16"/>
      <c r="BQ61" s="16"/>
      <c r="BR61" s="16"/>
      <c r="BS61" s="16"/>
    </row>
    <row r="62" spans="64:71" ht="12.75">
      <c r="BL62" s="16"/>
      <c r="BM62" s="16"/>
      <c r="BN62" s="16"/>
      <c r="BO62" s="16"/>
      <c r="BP62" s="16"/>
      <c r="BQ62" s="16"/>
      <c r="BR62" s="16"/>
      <c r="BS62" s="16"/>
    </row>
    <row r="63" spans="64:71" ht="12.75">
      <c r="BL63" s="16"/>
      <c r="BM63" s="16"/>
      <c r="BN63" s="16"/>
      <c r="BO63" s="16"/>
      <c r="BP63" s="16"/>
      <c r="BQ63" s="16"/>
      <c r="BR63" s="16"/>
      <c r="BS63" s="16"/>
    </row>
    <row r="64" spans="64:71" ht="12.75">
      <c r="BL64" s="16"/>
      <c r="BM64" s="16"/>
      <c r="BN64" s="16"/>
      <c r="BO64" s="16"/>
      <c r="BP64" s="16"/>
      <c r="BQ64" s="16"/>
      <c r="BR64" s="16"/>
      <c r="BS64" s="16"/>
    </row>
    <row r="65" spans="64:71" ht="12.75">
      <c r="BL65" s="16"/>
      <c r="BM65" s="16"/>
      <c r="BN65" s="16"/>
      <c r="BO65" s="16"/>
      <c r="BP65" s="16"/>
      <c r="BQ65" s="16"/>
      <c r="BR65" s="16"/>
      <c r="BS65" s="16"/>
    </row>
    <row r="66" spans="64:71" ht="12.75">
      <c r="BL66" s="16"/>
      <c r="BM66" s="16"/>
      <c r="BN66" s="16"/>
      <c r="BO66" s="16"/>
      <c r="BP66" s="16"/>
      <c r="BQ66" s="16"/>
      <c r="BR66" s="16"/>
      <c r="BS66" s="16"/>
    </row>
    <row r="67" spans="64:71" ht="12.75">
      <c r="BL67" s="16"/>
      <c r="BM67" s="16"/>
      <c r="BN67" s="16"/>
      <c r="BO67" s="16"/>
      <c r="BP67" s="16"/>
      <c r="BQ67" s="16"/>
      <c r="BR67" s="16"/>
      <c r="BS67" s="16"/>
    </row>
    <row r="68" spans="64:71" ht="12.75">
      <c r="BL68" s="16"/>
      <c r="BM68" s="16"/>
      <c r="BN68" s="16"/>
      <c r="BO68" s="16"/>
      <c r="BP68" s="16"/>
      <c r="BQ68" s="16"/>
      <c r="BR68" s="16"/>
      <c r="BS68" s="16"/>
    </row>
    <row r="69" spans="64:71" ht="12.75">
      <c r="BL69" s="16"/>
      <c r="BM69" s="16"/>
      <c r="BN69" s="16"/>
      <c r="BO69" s="16"/>
      <c r="BP69" s="16"/>
      <c r="BQ69" s="16"/>
      <c r="BR69" s="16"/>
      <c r="BS69" s="16"/>
    </row>
    <row r="70" spans="64:71" ht="12.75">
      <c r="BL70" s="16"/>
      <c r="BM70" s="16"/>
      <c r="BN70" s="16"/>
      <c r="BO70" s="16"/>
      <c r="BP70" s="16"/>
      <c r="BQ70" s="16"/>
      <c r="BR70" s="16"/>
      <c r="BS70" s="16"/>
    </row>
    <row r="71" spans="64:71" ht="12.75">
      <c r="BL71" s="16"/>
      <c r="BM71" s="16"/>
      <c r="BN71" s="16"/>
      <c r="BO71" s="16"/>
      <c r="BP71" s="16"/>
      <c r="BQ71" s="16"/>
      <c r="BR71" s="16"/>
      <c r="BS71" s="16"/>
    </row>
  </sheetData>
  <sheetProtection password="D8BB" sheet="1" objects="1" scenarios="1" selectLockedCells="1"/>
  <mergeCells count="18">
    <mergeCell ref="B60:G61"/>
    <mergeCell ref="D6:E9"/>
    <mergeCell ref="M6:N12"/>
    <mergeCell ref="L14:N24"/>
    <mergeCell ref="B13:C13"/>
    <mergeCell ref="B58:C58"/>
    <mergeCell ref="B2:G2"/>
    <mergeCell ref="B3:F3"/>
    <mergeCell ref="B11:C11"/>
    <mergeCell ref="F11:G11"/>
    <mergeCell ref="BP13:BQ13"/>
    <mergeCell ref="BP14:BQ14"/>
    <mergeCell ref="B17:D17"/>
    <mergeCell ref="B57:C57"/>
    <mergeCell ref="BB27:BE27"/>
    <mergeCell ref="B47:C47"/>
    <mergeCell ref="B48:C48"/>
    <mergeCell ref="B50:C50"/>
  </mergeCells>
  <conditionalFormatting sqref="B58:C58">
    <cfRule type="cellIs" priority="1" dxfId="0" operator="greaterThan" stopIfTrue="1">
      <formula>$B$48*20</formula>
    </cfRule>
  </conditionalFormatting>
  <dataValidations count="1">
    <dataValidation type="list" allowBlank="1" showErrorMessage="1" sqref="D11">
      <formula1>$BB$16:$BB$20</formula1>
      <formula2>0</formula2>
    </dataValidation>
  </dataValidations>
  <printOptions/>
  <pageMargins left="0.2362204724409449" right="0.2362204724409449" top="0.1968503937007874"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Christine BONNET</Manager>
  <Company/>
  <HyperlinkBase>http://scecfdtcvdl.fr</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 de simulation indemnité Licenciement</dc:title>
  <dc:subject>Juridique</dc:subject>
  <dc:creator>Syndicat Chimie Energie Centre val de Loire</dc:creator>
  <cp:keywords/>
  <dc:description>contact : juridique@scecfdtcvdl.fr</dc:description>
  <cp:lastModifiedBy>Bruno CARRARO</cp:lastModifiedBy>
  <cp:lastPrinted>2012-12-18T09:47:14Z</cp:lastPrinted>
  <dcterms:created xsi:type="dcterms:W3CDTF">2012-10-30T15:16:28Z</dcterms:created>
  <dcterms:modified xsi:type="dcterms:W3CDTF">2012-12-19T11:11:38Z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